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s://d.docs.live.net/f731177bc1b5b4c4/Documents/1Unger Poultry/Layer Barn/"/>
    </mc:Choice>
  </mc:AlternateContent>
  <xr:revisionPtr revIDLastSave="16" documentId="8_{C52DDDF5-8266-48CF-BACD-E1F1AC9290E3}" xr6:coauthVersionLast="47" xr6:coauthVersionMax="47" xr10:uidLastSave="{7F4ECD55-8191-4CCC-BD3E-8CFAED844330}"/>
  <workbookProtection workbookPassword="DD31" lockStructure="1"/>
  <bookViews>
    <workbookView xWindow="-103" yWindow="-103" windowWidth="16663" windowHeight="10492" tabRatio="904" activeTab="7" xr2:uid="{00000000-000D-0000-FFFF-FFFF00000000}"/>
  </bookViews>
  <sheets>
    <sheet name="Instructions" sheetId="10" r:id="rId1"/>
    <sheet name="1a - Pigs" sheetId="1" r:id="rId2"/>
    <sheet name="1b - Beef" sheetId="4" r:id="rId3"/>
    <sheet name="1c - Dairy" sheetId="2" r:id="rId4"/>
    <sheet name="1d - Sheep" sheetId="5" r:id="rId5"/>
    <sheet name="1e - Poultry" sheetId="6" r:id="rId6"/>
    <sheet name="2 - Crop Rotation" sheetId="7" r:id="rId7"/>
    <sheet name="3 - Farm Excretion" sheetId="8" r:id="rId8"/>
    <sheet name="4 - Land Base Summary" sheetId="9" r:id="rId9"/>
    <sheet name="Notes and Look Up" sheetId="3" state="hidden" r:id="rId10"/>
  </sheets>
  <definedNames>
    <definedName name="BeefSpecies">'Notes and Look Up'!#REF!</definedName>
    <definedName name="BeefType">'Notes and Look Up'!#REF!</definedName>
    <definedName name="CropType">'Notes and Look Up'!#REF!</definedName>
    <definedName name="DairyType">'Notes and Look Up'!#REF!</definedName>
    <definedName name="HogType">'Notes and Look Up'!#REF!</definedName>
    <definedName name="PoultrySpecies">'Notes and Look Up'!#REF!</definedName>
    <definedName name="PoultryType">'Notes and Look Up'!#REF!</definedName>
    <definedName name="SheepType">'Notes and Look Up'!#REF!</definedName>
    <definedName name="Storages">'Notes and Look Up'!$A$2:$A$10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4" i="4" l="1"/>
  <c r="BF6" i="6" l="1"/>
  <c r="BF7" i="6"/>
  <c r="BF8" i="6"/>
  <c r="BF10" i="6"/>
  <c r="BF11" i="6"/>
  <c r="BF12" i="6"/>
  <c r="BF13" i="6"/>
  <c r="BF15" i="6"/>
  <c r="BF16" i="6"/>
  <c r="BF17" i="6"/>
  <c r="BF18" i="6"/>
  <c r="BF20" i="6"/>
  <c r="BF21" i="6"/>
  <c r="BF22" i="6"/>
  <c r="BF23" i="6"/>
  <c r="BF24" i="6"/>
  <c r="BF25" i="6"/>
  <c r="BF26" i="6"/>
  <c r="BF27" i="6"/>
  <c r="BF28" i="6"/>
  <c r="BF5" i="6"/>
  <c r="D6" i="6"/>
  <c r="D7" i="6"/>
  <c r="D8" i="6"/>
  <c r="D10" i="6"/>
  <c r="D11" i="6"/>
  <c r="D12" i="6"/>
  <c r="D13" i="6"/>
  <c r="D15" i="6"/>
  <c r="D16" i="6"/>
  <c r="D17" i="6"/>
  <c r="D18" i="6"/>
  <c r="D20" i="6"/>
  <c r="D21" i="6"/>
  <c r="D22" i="6"/>
  <c r="D23" i="6"/>
  <c r="D24" i="6"/>
  <c r="D25" i="6"/>
  <c r="D26" i="6"/>
  <c r="D27" i="6"/>
  <c r="D28" i="6"/>
  <c r="D5" i="6"/>
  <c r="Q28" i="6"/>
  <c r="O28" i="6"/>
  <c r="N28" i="6"/>
  <c r="I28" i="6"/>
  <c r="AR28" i="6" s="1"/>
  <c r="AU28" i="6" s="1"/>
  <c r="H28" i="6"/>
  <c r="Q27" i="6"/>
  <c r="N27" i="6"/>
  <c r="O27" i="6" s="1"/>
  <c r="I27" i="6"/>
  <c r="AR27" i="6" s="1"/>
  <c r="AU27" i="6" s="1"/>
  <c r="H27" i="6"/>
  <c r="Q26" i="6"/>
  <c r="N26" i="6"/>
  <c r="O26" i="6" s="1"/>
  <c r="I26" i="6"/>
  <c r="AR26" i="6" s="1"/>
  <c r="AU26" i="6" s="1"/>
  <c r="H26" i="6"/>
  <c r="AT25" i="6"/>
  <c r="AA25" i="6"/>
  <c r="Q25" i="6"/>
  <c r="S25" i="6" s="1"/>
  <c r="T25" i="6" s="1"/>
  <c r="U25" i="6" s="1"/>
  <c r="V25" i="6" s="1"/>
  <c r="O25" i="6"/>
  <c r="N25" i="6"/>
  <c r="I25" i="6"/>
  <c r="AR25" i="6" s="1"/>
  <c r="H25" i="6"/>
  <c r="AR24" i="6"/>
  <c r="AU24" i="6" s="1"/>
  <c r="Q24" i="6"/>
  <c r="O24" i="6"/>
  <c r="N24" i="6"/>
  <c r="I24" i="6"/>
  <c r="X24" i="6" s="1"/>
  <c r="AB24" i="6" s="1"/>
  <c r="AC24" i="6" s="1"/>
  <c r="H24" i="6"/>
  <c r="Q23" i="6"/>
  <c r="O23" i="6"/>
  <c r="N23" i="6"/>
  <c r="I23" i="6"/>
  <c r="X23" i="6" s="1"/>
  <c r="AB23" i="6" s="1"/>
  <c r="AC23" i="6" s="1"/>
  <c r="H23" i="6"/>
  <c r="Q22" i="6"/>
  <c r="N22" i="6"/>
  <c r="O22" i="6" s="1"/>
  <c r="I22" i="6"/>
  <c r="AR22" i="6" s="1"/>
  <c r="AU22" i="6" s="1"/>
  <c r="H22" i="6"/>
  <c r="Q21" i="6"/>
  <c r="N21" i="6"/>
  <c r="O21" i="6" s="1"/>
  <c r="I21" i="6"/>
  <c r="X21" i="6" s="1"/>
  <c r="AB21" i="6" s="1"/>
  <c r="AC21" i="6" s="1"/>
  <c r="H21" i="6"/>
  <c r="Q20" i="6"/>
  <c r="N20" i="6"/>
  <c r="O20" i="6" s="1"/>
  <c r="I20" i="6"/>
  <c r="X20" i="6" s="1"/>
  <c r="AB20" i="6" s="1"/>
  <c r="AC20" i="6" s="1"/>
  <c r="H20" i="6"/>
  <c r="AT18" i="6"/>
  <c r="AN18" i="6"/>
  <c r="AO18" i="6" s="1"/>
  <c r="AA18" i="6"/>
  <c r="T18" i="6"/>
  <c r="Q18" i="6"/>
  <c r="S18" i="6" s="1"/>
  <c r="N18" i="6"/>
  <c r="O18" i="6" s="1"/>
  <c r="I18" i="6"/>
  <c r="AR18" i="6" s="1"/>
  <c r="H18" i="6"/>
  <c r="AA17" i="6"/>
  <c r="Q17" i="6"/>
  <c r="S17" i="6" s="1"/>
  <c r="N17" i="6"/>
  <c r="O17" i="6" s="1"/>
  <c r="I17" i="6"/>
  <c r="X17" i="6" s="1"/>
  <c r="H17" i="6"/>
  <c r="AT16" i="6"/>
  <c r="AR16" i="6"/>
  <c r="AU16" i="6" s="1"/>
  <c r="AA16" i="6"/>
  <c r="Q16" i="6"/>
  <c r="O16" i="6"/>
  <c r="N16" i="6"/>
  <c r="I16" i="6"/>
  <c r="X16" i="6" s="1"/>
  <c r="AB16" i="6" s="1"/>
  <c r="AC16" i="6" s="1"/>
  <c r="H16" i="6"/>
  <c r="Q15" i="6"/>
  <c r="N15" i="6"/>
  <c r="I15" i="6"/>
  <c r="AR15" i="6" s="1"/>
  <c r="AU15" i="6" s="1"/>
  <c r="H15" i="6"/>
  <c r="AT13" i="6"/>
  <c r="AA13" i="6"/>
  <c r="T13" i="6"/>
  <c r="Q13" i="6"/>
  <c r="S13" i="6" s="1"/>
  <c r="N13" i="6"/>
  <c r="O13" i="6" s="1"/>
  <c r="I13" i="6"/>
  <c r="AR13" i="6" s="1"/>
  <c r="AU13" i="6" s="1"/>
  <c r="H13" i="6"/>
  <c r="AA12" i="6"/>
  <c r="T12" i="6"/>
  <c r="Q12" i="6"/>
  <c r="S12" i="6" s="1"/>
  <c r="N12" i="6"/>
  <c r="O12" i="6" s="1"/>
  <c r="I12" i="6"/>
  <c r="X12" i="6" s="1"/>
  <c r="H12" i="6"/>
  <c r="AT11" i="6"/>
  <c r="AA11" i="6"/>
  <c r="Q11" i="6"/>
  <c r="N11" i="6"/>
  <c r="O11" i="6" s="1"/>
  <c r="I11" i="6"/>
  <c r="X11" i="6" s="1"/>
  <c r="H11" i="6"/>
  <c r="BG11" i="6" s="1"/>
  <c r="Q10" i="6"/>
  <c r="N10" i="6"/>
  <c r="O10" i="6" s="1"/>
  <c r="I10" i="6"/>
  <c r="X10" i="6" s="1"/>
  <c r="AB10" i="6" s="1"/>
  <c r="AC10" i="6" s="1"/>
  <c r="H10" i="6"/>
  <c r="AT8" i="6"/>
  <c r="AJ8" i="6"/>
  <c r="AA8" i="6"/>
  <c r="Q8" i="6"/>
  <c r="O8" i="6"/>
  <c r="N8" i="6"/>
  <c r="I8" i="6"/>
  <c r="AR8" i="6" s="1"/>
  <c r="AU8" i="6" s="1"/>
  <c r="H8" i="6"/>
  <c r="AJ7" i="6"/>
  <c r="Q7" i="6"/>
  <c r="N7" i="6"/>
  <c r="O7" i="6" s="1"/>
  <c r="I7" i="6"/>
  <c r="X7" i="6" s="1"/>
  <c r="AB7" i="6" s="1"/>
  <c r="AC7" i="6" s="1"/>
  <c r="H7" i="6"/>
  <c r="AP6" i="6"/>
  <c r="AN6" i="6"/>
  <c r="AO6" i="6" s="1"/>
  <c r="AJ6" i="6"/>
  <c r="Q6" i="6"/>
  <c r="S6" i="6" s="1"/>
  <c r="T6" i="6" s="1"/>
  <c r="N6" i="6"/>
  <c r="O6" i="6" s="1"/>
  <c r="I6" i="6"/>
  <c r="X6" i="6" s="1"/>
  <c r="AB6" i="6" s="1"/>
  <c r="AC6" i="6" s="1"/>
  <c r="H6" i="6"/>
  <c r="AJ5" i="6"/>
  <c r="Q5" i="6"/>
  <c r="N5" i="6"/>
  <c r="O5" i="6" s="1"/>
  <c r="I5" i="6"/>
  <c r="X5" i="6" s="1"/>
  <c r="AB5" i="6" s="1"/>
  <c r="AC5" i="6" s="1"/>
  <c r="H5" i="6"/>
  <c r="AB11" i="6" l="1"/>
  <c r="AC11" i="6" s="1"/>
  <c r="AR20" i="6"/>
  <c r="AU20" i="6" s="1"/>
  <c r="AR21" i="6"/>
  <c r="AU21" i="6" s="1"/>
  <c r="BG24" i="6"/>
  <c r="AR7" i="6"/>
  <c r="AU7" i="6" s="1"/>
  <c r="BG7" i="6"/>
  <c r="BG23" i="6"/>
  <c r="AN11" i="6"/>
  <c r="S11" i="6"/>
  <c r="BG22" i="6"/>
  <c r="BG21" i="6"/>
  <c r="AN16" i="6"/>
  <c r="S16" i="6"/>
  <c r="AN24" i="6"/>
  <c r="S24" i="6"/>
  <c r="T24" i="6" s="1"/>
  <c r="U24" i="6" s="1"/>
  <c r="V24" i="6" s="1"/>
  <c r="AN28" i="6"/>
  <c r="S28" i="6"/>
  <c r="AN7" i="6"/>
  <c r="AP7" i="6" s="1"/>
  <c r="AV7" i="6" s="1"/>
  <c r="AW7" i="6" s="1"/>
  <c r="S7" i="6"/>
  <c r="T7" i="6" s="1"/>
  <c r="T10" i="6"/>
  <c r="S10" i="6"/>
  <c r="AN12" i="6"/>
  <c r="AP12" i="6" s="1"/>
  <c r="X18" i="6"/>
  <c r="AB18" i="6" s="1"/>
  <c r="AC18" i="6" s="1"/>
  <c r="AN23" i="6"/>
  <c r="S23" i="6"/>
  <c r="T23" i="6" s="1"/>
  <c r="AN27" i="6"/>
  <c r="S27" i="6"/>
  <c r="T27" i="6" s="1"/>
  <c r="U27" i="6" s="1"/>
  <c r="V27" i="6" s="1"/>
  <c r="BG20" i="6"/>
  <c r="BG10" i="6"/>
  <c r="AN8" i="6"/>
  <c r="S8" i="6"/>
  <c r="T8" i="6" s="1"/>
  <c r="U8" i="6" s="1"/>
  <c r="V8" i="6" s="1"/>
  <c r="AN15" i="6"/>
  <c r="S15" i="6"/>
  <c r="T15" i="6" s="1"/>
  <c r="AR10" i="6"/>
  <c r="AU10" i="6" s="1"/>
  <c r="AR12" i="6"/>
  <c r="AU12" i="6" s="1"/>
  <c r="AV12" i="6" s="1"/>
  <c r="AW12" i="6" s="1"/>
  <c r="AN13" i="6"/>
  <c r="X15" i="6"/>
  <c r="AB15" i="6" s="1"/>
  <c r="AC15" i="6" s="1"/>
  <c r="AR17" i="6"/>
  <c r="AU17" i="6" s="1"/>
  <c r="AN20" i="6"/>
  <c r="S20" i="6"/>
  <c r="T20" i="6" s="1"/>
  <c r="U20" i="6" s="1"/>
  <c r="V20" i="6" s="1"/>
  <c r="AN21" i="6"/>
  <c r="S21" i="6"/>
  <c r="T21" i="6" s="1"/>
  <c r="U21" i="6" s="1"/>
  <c r="V21" i="6" s="1"/>
  <c r="AD21" i="6" s="1"/>
  <c r="AE21" i="6" s="1"/>
  <c r="AF21" i="6" s="1"/>
  <c r="AN22" i="6"/>
  <c r="AP22" i="6" s="1"/>
  <c r="AV22" i="6" s="1"/>
  <c r="AW22" i="6" s="1"/>
  <c r="AX22" i="6" s="1"/>
  <c r="BB22" i="6" s="1"/>
  <c r="S22" i="6"/>
  <c r="T22" i="6" s="1"/>
  <c r="X25" i="6"/>
  <c r="AB25" i="6" s="1"/>
  <c r="AC25" i="6" s="1"/>
  <c r="AD25" i="6" s="1"/>
  <c r="AE25" i="6" s="1"/>
  <c r="AF25" i="6" s="1"/>
  <c r="AN26" i="6"/>
  <c r="S26" i="6"/>
  <c r="T26" i="6" s="1"/>
  <c r="BG27" i="6"/>
  <c r="BG18" i="6"/>
  <c r="BG8" i="6"/>
  <c r="BG26" i="6"/>
  <c r="AR5" i="6"/>
  <c r="AU5" i="6" s="1"/>
  <c r="AB12" i="6"/>
  <c r="AC12" i="6" s="1"/>
  <c r="AP18" i="6"/>
  <c r="X22" i="6"/>
  <c r="AB22" i="6" s="1"/>
  <c r="AC22" i="6" s="1"/>
  <c r="AN25" i="6"/>
  <c r="AO25" i="6" s="1"/>
  <c r="X26" i="6"/>
  <c r="AB26" i="6" s="1"/>
  <c r="AC26" i="6" s="1"/>
  <c r="BG25" i="6"/>
  <c r="BG6" i="6"/>
  <c r="BG5" i="6"/>
  <c r="AN5" i="6"/>
  <c r="AP5" i="6" s="1"/>
  <c r="S5" i="6"/>
  <c r="T5" i="6" s="1"/>
  <c r="AD20" i="6"/>
  <c r="AE20" i="6" s="1"/>
  <c r="AF20" i="6" s="1"/>
  <c r="U26" i="6"/>
  <c r="V26" i="6" s="1"/>
  <c r="U22" i="6"/>
  <c r="V22" i="6" s="1"/>
  <c r="AD22" i="6" s="1"/>
  <c r="AE22" i="6" s="1"/>
  <c r="AF22" i="6" s="1"/>
  <c r="U23" i="6"/>
  <c r="V23" i="6" s="1"/>
  <c r="BG15" i="6"/>
  <c r="U12" i="6"/>
  <c r="V12" i="6" s="1"/>
  <c r="AD12" i="6" s="1"/>
  <c r="AE12" i="6" s="1"/>
  <c r="AF12" i="6" s="1"/>
  <c r="U10" i="6"/>
  <c r="V10" i="6" s="1"/>
  <c r="U13" i="6"/>
  <c r="V13" i="6" s="1"/>
  <c r="BG13" i="6"/>
  <c r="U18" i="6"/>
  <c r="V18" i="6" s="1"/>
  <c r="AD18" i="6" s="1"/>
  <c r="AE18" i="6" s="1"/>
  <c r="AF18" i="6" s="1"/>
  <c r="U6" i="6"/>
  <c r="V6" i="6" s="1"/>
  <c r="AD6" i="6" s="1"/>
  <c r="AE6" i="6" s="1"/>
  <c r="U15" i="6"/>
  <c r="V15" i="6" s="1"/>
  <c r="AD24" i="6"/>
  <c r="AE24" i="6" s="1"/>
  <c r="AF24" i="6" s="1"/>
  <c r="BG17" i="6"/>
  <c r="BG12" i="6"/>
  <c r="BG28" i="6"/>
  <c r="AO5" i="6"/>
  <c r="AP8" i="6"/>
  <c r="AO8" i="6"/>
  <c r="AV8" i="6"/>
  <c r="AW8" i="6" s="1"/>
  <c r="AP11" i="6"/>
  <c r="AO11" i="6"/>
  <c r="AO16" i="6"/>
  <c r="AP16" i="6"/>
  <c r="AV16" i="6" s="1"/>
  <c r="AW16" i="6" s="1"/>
  <c r="AR6" i="6"/>
  <c r="AU6" i="6" s="1"/>
  <c r="AV6" i="6" s="1"/>
  <c r="AW6" i="6" s="1"/>
  <c r="AX6" i="6" s="1"/>
  <c r="BB6" i="6" s="1"/>
  <c r="AN10" i="6"/>
  <c r="AR11" i="6"/>
  <c r="AU11" i="6" s="1"/>
  <c r="X13" i="6"/>
  <c r="AB13" i="6" s="1"/>
  <c r="AC13" i="6" s="1"/>
  <c r="O15" i="6"/>
  <c r="T16" i="6"/>
  <c r="BG16" i="6"/>
  <c r="AB17" i="6"/>
  <c r="AC17" i="6" s="1"/>
  <c r="X8" i="6"/>
  <c r="AB8" i="6" s="1"/>
  <c r="AC8" i="6" s="1"/>
  <c r="AP21" i="6"/>
  <c r="AV21" i="6" s="1"/>
  <c r="AW21" i="6" s="1"/>
  <c r="AO21" i="6"/>
  <c r="T11" i="6"/>
  <c r="AO12" i="6"/>
  <c r="AR23" i="6"/>
  <c r="AU23" i="6" s="1"/>
  <c r="AN17" i="6"/>
  <c r="T17" i="6"/>
  <c r="AU18" i="6"/>
  <c r="AV18" i="6" s="1"/>
  <c r="AW18" i="6" s="1"/>
  <c r="AX18" i="6" s="1"/>
  <c r="BB18" i="6" s="1"/>
  <c r="AU25" i="6"/>
  <c r="X27" i="6"/>
  <c r="AB27" i="6" s="1"/>
  <c r="AC27" i="6" s="1"/>
  <c r="AP28" i="6"/>
  <c r="AV28" i="6" s="1"/>
  <c r="AW28" i="6" s="1"/>
  <c r="AO28" i="6"/>
  <c r="T28" i="6"/>
  <c r="X28" i="6"/>
  <c r="AB28" i="6" s="1"/>
  <c r="AC28" i="6" s="1"/>
  <c r="AP25" i="6" l="1"/>
  <c r="AO7" i="6"/>
  <c r="AO22" i="6"/>
  <c r="AO13" i="6"/>
  <c r="AP13" i="6"/>
  <c r="AP27" i="6"/>
  <c r="AO27" i="6"/>
  <c r="AO15" i="6"/>
  <c r="AP15" i="6"/>
  <c r="AP23" i="6"/>
  <c r="AV23" i="6" s="1"/>
  <c r="AW23" i="6" s="1"/>
  <c r="AX23" i="6" s="1"/>
  <c r="AO23" i="6"/>
  <c r="AP20" i="6"/>
  <c r="AO20" i="6"/>
  <c r="AV20" i="6"/>
  <c r="AW20" i="6" s="1"/>
  <c r="AD26" i="6"/>
  <c r="AE26" i="6" s="1"/>
  <c r="AF26" i="6" s="1"/>
  <c r="AH26" i="6" s="1"/>
  <c r="AI26" i="6" s="1"/>
  <c r="AK26" i="6" s="1"/>
  <c r="AL26" i="6" s="1"/>
  <c r="C58" i="8" s="1"/>
  <c r="AV11" i="6"/>
  <c r="AW11" i="6" s="1"/>
  <c r="AP26" i="6"/>
  <c r="AO26" i="6"/>
  <c r="AX12" i="6"/>
  <c r="AP24" i="6"/>
  <c r="AO24" i="6"/>
  <c r="AD23" i="6"/>
  <c r="AE23" i="6" s="1"/>
  <c r="AF23" i="6" s="1"/>
  <c r="U28" i="6"/>
  <c r="V28" i="6" s="1"/>
  <c r="AD28" i="6" s="1"/>
  <c r="AE28" i="6" s="1"/>
  <c r="AF28" i="6" s="1"/>
  <c r="AD27" i="6"/>
  <c r="AE27" i="6" s="1"/>
  <c r="AF27" i="6" s="1"/>
  <c r="AH27" i="6" s="1"/>
  <c r="AI27" i="6" s="1"/>
  <c r="AK27" i="6" s="1"/>
  <c r="AL27" i="6" s="1"/>
  <c r="C59" i="8" s="1"/>
  <c r="AD15" i="6"/>
  <c r="AE15" i="6" s="1"/>
  <c r="AF15" i="6" s="1"/>
  <c r="AD10" i="6"/>
  <c r="AE10" i="6" s="1"/>
  <c r="AF10" i="6" s="1"/>
  <c r="AH10" i="6" s="1"/>
  <c r="AI10" i="6" s="1"/>
  <c r="AK10" i="6" s="1"/>
  <c r="AL10" i="6" s="1"/>
  <c r="C44" i="8" s="1"/>
  <c r="U17" i="6"/>
  <c r="V17" i="6" s="1"/>
  <c r="AD17" i="6" s="1"/>
  <c r="AE17" i="6" s="1"/>
  <c r="AF17" i="6" s="1"/>
  <c r="U5" i="6"/>
  <c r="V5" i="6" s="1"/>
  <c r="U16" i="6"/>
  <c r="V16" i="6" s="1"/>
  <c r="U7" i="6"/>
  <c r="V7" i="6" s="1"/>
  <c r="AF6" i="6"/>
  <c r="AG6" i="6" s="1"/>
  <c r="AD13" i="6"/>
  <c r="AE13" i="6" s="1"/>
  <c r="AF13" i="6" s="1"/>
  <c r="AG13" i="6" s="1"/>
  <c r="U11" i="6"/>
  <c r="V11" i="6" s="1"/>
  <c r="AD8" i="6"/>
  <c r="AE8" i="6" s="1"/>
  <c r="AF8" i="6" s="1"/>
  <c r="AH8" i="6" s="1"/>
  <c r="AI8" i="6" s="1"/>
  <c r="AK8" i="6" s="1"/>
  <c r="AL8" i="6" s="1"/>
  <c r="C43" i="8" s="1"/>
  <c r="AH18" i="6"/>
  <c r="AI18" i="6" s="1"/>
  <c r="AK18" i="6" s="1"/>
  <c r="AL18" i="6" s="1"/>
  <c r="C51" i="8" s="1"/>
  <c r="AG18" i="6"/>
  <c r="AY18" i="6"/>
  <c r="AZ18" i="6"/>
  <c r="BA18" i="6" s="1"/>
  <c r="BC18" i="6"/>
  <c r="BD18" i="6" s="1"/>
  <c r="BH18" i="6" s="1"/>
  <c r="D51" i="8" s="1"/>
  <c r="AG25" i="6"/>
  <c r="AH25" i="6"/>
  <c r="AI25" i="6" s="1"/>
  <c r="AK25" i="6" s="1"/>
  <c r="AL25" i="6" s="1"/>
  <c r="C57" i="8" s="1"/>
  <c r="AZ6" i="6"/>
  <c r="BA6" i="6" s="1"/>
  <c r="AY6" i="6"/>
  <c r="BC6" i="6"/>
  <c r="BD6" i="6" s="1"/>
  <c r="BH6" i="6" s="1"/>
  <c r="D41" i="8" s="1"/>
  <c r="AH12" i="6"/>
  <c r="AI12" i="6" s="1"/>
  <c r="AK12" i="6" s="1"/>
  <c r="AL12" i="6" s="1"/>
  <c r="C46" i="8" s="1"/>
  <c r="AG12" i="6"/>
  <c r="AY22" i="6"/>
  <c r="BC22" i="6"/>
  <c r="BD22" i="6" s="1"/>
  <c r="BH22" i="6" s="1"/>
  <c r="D54" i="8" s="1"/>
  <c r="AZ22" i="6"/>
  <c r="BA22" i="6" s="1"/>
  <c r="AP17" i="6"/>
  <c r="AO17" i="6"/>
  <c r="AH21" i="6"/>
  <c r="AI21" i="6" s="1"/>
  <c r="AK21" i="6" s="1"/>
  <c r="AL21" i="6" s="1"/>
  <c r="C53" i="8" s="1"/>
  <c r="AG21" i="6"/>
  <c r="AO10" i="6"/>
  <c r="AP10" i="6"/>
  <c r="AX8" i="6"/>
  <c r="BB8" i="6" s="1"/>
  <c r="AH20" i="6"/>
  <c r="AI20" i="6" s="1"/>
  <c r="AK20" i="6" s="1"/>
  <c r="AL20" i="6" s="1"/>
  <c r="C52" i="8" s="1"/>
  <c r="AG20" i="6"/>
  <c r="AX28" i="6"/>
  <c r="BB28" i="6" s="1"/>
  <c r="AH24" i="6"/>
  <c r="AI24" i="6" s="1"/>
  <c r="AK24" i="6" s="1"/>
  <c r="AL24" i="6" s="1"/>
  <c r="C56" i="8" s="1"/>
  <c r="AG24" i="6"/>
  <c r="AV25" i="6"/>
  <c r="AW25" i="6" s="1"/>
  <c r="AX25" i="6" s="1"/>
  <c r="BB25" i="6" s="1"/>
  <c r="AX21" i="6"/>
  <c r="BB21" i="6" s="1"/>
  <c r="AH22" i="6"/>
  <c r="AI22" i="6" s="1"/>
  <c r="AK22" i="6" s="1"/>
  <c r="AL22" i="6" s="1"/>
  <c r="C54" i="8" s="1"/>
  <c r="AG22" i="6"/>
  <c r="AX16" i="6"/>
  <c r="BB16" i="6" s="1"/>
  <c r="AX11" i="6"/>
  <c r="BB11" i="6" s="1"/>
  <c r="AG26" i="6"/>
  <c r="AX7" i="6"/>
  <c r="BB7" i="6" s="1"/>
  <c r="AV5" i="6"/>
  <c r="AW5" i="6" s="1"/>
  <c r="AX5" i="6" s="1"/>
  <c r="BB5" i="6" s="1"/>
  <c r="BB23" i="6" l="1"/>
  <c r="BC23" i="6" s="1"/>
  <c r="BD23" i="6" s="1"/>
  <c r="BH23" i="6" s="1"/>
  <c r="D55" i="8" s="1"/>
  <c r="AZ23" i="6"/>
  <c r="BA23" i="6" s="1"/>
  <c r="AY23" i="6"/>
  <c r="AV27" i="6"/>
  <c r="AW27" i="6" s="1"/>
  <c r="AX27" i="6" s="1"/>
  <c r="AX24" i="6"/>
  <c r="AV24" i="6"/>
  <c r="AW24" i="6" s="1"/>
  <c r="AX20" i="6"/>
  <c r="AV13" i="6"/>
  <c r="AW13" i="6" s="1"/>
  <c r="AX13" i="6" s="1"/>
  <c r="BB12" i="6"/>
  <c r="BC12" i="6" s="1"/>
  <c r="BD12" i="6" s="1"/>
  <c r="BH12" i="6" s="1"/>
  <c r="D46" i="8" s="1"/>
  <c r="AZ12" i="6"/>
  <c r="BA12" i="6" s="1"/>
  <c r="AY12" i="6"/>
  <c r="AV26" i="6"/>
  <c r="AW26" i="6" s="1"/>
  <c r="AX26" i="6" s="1"/>
  <c r="AX15" i="6"/>
  <c r="AV15" i="6"/>
  <c r="AW15" i="6" s="1"/>
  <c r="AH13" i="6"/>
  <c r="AI13" i="6" s="1"/>
  <c r="AK13" i="6" s="1"/>
  <c r="AL13" i="6" s="1"/>
  <c r="C47" i="8" s="1"/>
  <c r="AG27" i="6"/>
  <c r="AG23" i="6"/>
  <c r="AH23" i="6"/>
  <c r="AI23" i="6" s="1"/>
  <c r="AK23" i="6" s="1"/>
  <c r="AL23" i="6" s="1"/>
  <c r="C55" i="8" s="1"/>
  <c r="AH6" i="6"/>
  <c r="AI6" i="6" s="1"/>
  <c r="AK6" i="6" s="1"/>
  <c r="AL6" i="6" s="1"/>
  <c r="C41" i="8" s="1"/>
  <c r="AG15" i="6"/>
  <c r="AH15" i="6"/>
  <c r="AI15" i="6" s="1"/>
  <c r="AK15" i="6" s="1"/>
  <c r="AL15" i="6" s="1"/>
  <c r="C48" i="8" s="1"/>
  <c r="AG8" i="6"/>
  <c r="AG10" i="6"/>
  <c r="AD5" i="6"/>
  <c r="AE5" i="6" s="1"/>
  <c r="AF5" i="6" s="1"/>
  <c r="AH5" i="6" s="1"/>
  <c r="AI5" i="6" s="1"/>
  <c r="AK5" i="6" s="1"/>
  <c r="AL5" i="6" s="1"/>
  <c r="C40" i="8" s="1"/>
  <c r="AD7" i="6"/>
  <c r="AE7" i="6" s="1"/>
  <c r="AF7" i="6" s="1"/>
  <c r="AG7" i="6" s="1"/>
  <c r="AD11" i="6"/>
  <c r="AE11" i="6" s="1"/>
  <c r="AF11" i="6" s="1"/>
  <c r="AG11" i="6" s="1"/>
  <c r="AD16" i="6"/>
  <c r="AE16" i="6" s="1"/>
  <c r="AF16" i="6" s="1"/>
  <c r="AH16" i="6" s="1"/>
  <c r="AI16" i="6" s="1"/>
  <c r="AK16" i="6" s="1"/>
  <c r="AL16" i="6" s="1"/>
  <c r="C49" i="8" s="1"/>
  <c r="AH28" i="6"/>
  <c r="AI28" i="6" s="1"/>
  <c r="AK28" i="6" s="1"/>
  <c r="AL28" i="6" s="1"/>
  <c r="C60" i="8" s="1"/>
  <c r="AG28" i="6"/>
  <c r="AY5" i="6"/>
  <c r="BC5" i="6"/>
  <c r="BD5" i="6" s="1"/>
  <c r="BH5" i="6" s="1"/>
  <c r="D40" i="8" s="1"/>
  <c r="AZ5" i="6"/>
  <c r="BA5" i="6" s="1"/>
  <c r="BC7" i="6"/>
  <c r="BD7" i="6" s="1"/>
  <c r="BH7" i="6" s="1"/>
  <c r="D42" i="8" s="1"/>
  <c r="AZ7" i="6"/>
  <c r="BA7" i="6" s="1"/>
  <c r="AY7" i="6"/>
  <c r="AZ11" i="6"/>
  <c r="BA11" i="6" s="1"/>
  <c r="BC11" i="6"/>
  <c r="BD11" i="6" s="1"/>
  <c r="BH11" i="6" s="1"/>
  <c r="D45" i="8" s="1"/>
  <c r="AY11" i="6"/>
  <c r="AY25" i="6"/>
  <c r="AZ25" i="6"/>
  <c r="BA25" i="6" s="1"/>
  <c r="BC25" i="6"/>
  <c r="BD25" i="6" s="1"/>
  <c r="BH25" i="6" s="1"/>
  <c r="D57" i="8" s="1"/>
  <c r="AH17" i="6"/>
  <c r="AI17" i="6" s="1"/>
  <c r="AK17" i="6" s="1"/>
  <c r="AL17" i="6" s="1"/>
  <c r="C50" i="8" s="1"/>
  <c r="AG17" i="6"/>
  <c r="AV10" i="6"/>
  <c r="AW10" i="6" s="1"/>
  <c r="AX10" i="6" s="1"/>
  <c r="BB10" i="6" s="1"/>
  <c r="AY21" i="6"/>
  <c r="AZ21" i="6"/>
  <c r="BA21" i="6" s="1"/>
  <c r="BC21" i="6"/>
  <c r="BD21" i="6" s="1"/>
  <c r="BH21" i="6" s="1"/>
  <c r="D53" i="8" s="1"/>
  <c r="AY28" i="6"/>
  <c r="BC28" i="6"/>
  <c r="BD28" i="6" s="1"/>
  <c r="BH28" i="6" s="1"/>
  <c r="D60" i="8" s="1"/>
  <c r="AZ28" i="6"/>
  <c r="BA28" i="6" s="1"/>
  <c r="BC8" i="6"/>
  <c r="BD8" i="6" s="1"/>
  <c r="BH8" i="6" s="1"/>
  <c r="D43" i="8" s="1"/>
  <c r="AZ8" i="6"/>
  <c r="BA8" i="6" s="1"/>
  <c r="AY8" i="6"/>
  <c r="AY16" i="6"/>
  <c r="BC16" i="6"/>
  <c r="BD16" i="6" s="1"/>
  <c r="BH16" i="6" s="1"/>
  <c r="D49" i="8" s="1"/>
  <c r="AZ16" i="6"/>
  <c r="BA16" i="6" s="1"/>
  <c r="AV17" i="6"/>
  <c r="AW17" i="6" s="1"/>
  <c r="AX17" i="6" s="1"/>
  <c r="BB17" i="6" s="1"/>
  <c r="BB13" i="6" l="1"/>
  <c r="BC13" i="6" s="1"/>
  <c r="BD13" i="6" s="1"/>
  <c r="BH13" i="6" s="1"/>
  <c r="D47" i="8" s="1"/>
  <c r="AZ13" i="6"/>
  <c r="BA13" i="6" s="1"/>
  <c r="AY13" i="6"/>
  <c r="BB26" i="6"/>
  <c r="BC26" i="6" s="1"/>
  <c r="BD26" i="6" s="1"/>
  <c r="BH26" i="6" s="1"/>
  <c r="D58" i="8" s="1"/>
  <c r="AZ26" i="6"/>
  <c r="BA26" i="6" s="1"/>
  <c r="AY26" i="6"/>
  <c r="BB27" i="6"/>
  <c r="BC27" i="6" s="1"/>
  <c r="BD27" i="6" s="1"/>
  <c r="BH27" i="6" s="1"/>
  <c r="D59" i="8" s="1"/>
  <c r="AY27" i="6"/>
  <c r="AZ27" i="6"/>
  <c r="BA27" i="6" s="1"/>
  <c r="BB15" i="6"/>
  <c r="BC15" i="6" s="1"/>
  <c r="BD15" i="6" s="1"/>
  <c r="BH15" i="6" s="1"/>
  <c r="D48" i="8" s="1"/>
  <c r="AY15" i="6"/>
  <c r="AZ15" i="6"/>
  <c r="BA15" i="6" s="1"/>
  <c r="BB20" i="6"/>
  <c r="BC20" i="6" s="1"/>
  <c r="BD20" i="6" s="1"/>
  <c r="BH20" i="6" s="1"/>
  <c r="D52" i="8" s="1"/>
  <c r="AY20" i="6"/>
  <c r="AZ20" i="6"/>
  <c r="BA20" i="6" s="1"/>
  <c r="BB24" i="6"/>
  <c r="BC24" i="6" s="1"/>
  <c r="BD24" i="6" s="1"/>
  <c r="BH24" i="6" s="1"/>
  <c r="D56" i="8" s="1"/>
  <c r="AZ24" i="6"/>
  <c r="BA24" i="6" s="1"/>
  <c r="AY24" i="6"/>
  <c r="AH11" i="6"/>
  <c r="AI11" i="6" s="1"/>
  <c r="AK11" i="6" s="1"/>
  <c r="AL11" i="6" s="1"/>
  <c r="C45" i="8" s="1"/>
  <c r="AG5" i="6"/>
  <c r="AG16" i="6"/>
  <c r="AH7" i="6"/>
  <c r="AI7" i="6" s="1"/>
  <c r="AK7" i="6" s="1"/>
  <c r="AL7" i="6" s="1"/>
  <c r="C42" i="8" s="1"/>
  <c r="AY17" i="6"/>
  <c r="BC17" i="6"/>
  <c r="BD17" i="6" s="1"/>
  <c r="BH17" i="6" s="1"/>
  <c r="D50" i="8" s="1"/>
  <c r="AZ17" i="6"/>
  <c r="BA17" i="6" s="1"/>
  <c r="AZ10" i="6"/>
  <c r="BA10" i="6" s="1"/>
  <c r="AY10" i="6"/>
  <c r="BC10" i="6"/>
  <c r="BD10" i="6" s="1"/>
  <c r="BH10" i="6" s="1"/>
  <c r="D44" i="8" s="1"/>
  <c r="H6" i="2" l="1"/>
  <c r="K6" i="2" s="1"/>
  <c r="N6" i="2" s="1"/>
  <c r="H5" i="2"/>
  <c r="K5" i="2" s="1"/>
  <c r="N5" i="2" s="1"/>
  <c r="J6" i="2"/>
  <c r="J7" i="2"/>
  <c r="J8" i="2"/>
  <c r="J9" i="2"/>
  <c r="J10" i="2"/>
  <c r="J5" i="2"/>
  <c r="C6" i="2"/>
  <c r="C7" i="2"/>
  <c r="C8" i="2"/>
  <c r="C9" i="2"/>
  <c r="C10" i="2"/>
  <c r="C12" i="2"/>
  <c r="C5" i="2"/>
  <c r="I6" i="2"/>
  <c r="I7" i="2"/>
  <c r="I8" i="2"/>
  <c r="I9" i="2"/>
  <c r="I10" i="2"/>
  <c r="I5" i="2"/>
  <c r="BF12" i="2"/>
  <c r="BG12" i="2" s="1"/>
  <c r="AK12" i="2"/>
  <c r="Q10" i="2"/>
  <c r="S10" i="2" s="1"/>
  <c r="H10" i="2"/>
  <c r="K10" i="2" s="1"/>
  <c r="N10" i="2" s="1"/>
  <c r="Q9" i="2"/>
  <c r="S9" i="2" s="1"/>
  <c r="H9" i="2"/>
  <c r="K9" i="2" s="1"/>
  <c r="N9" i="2" s="1"/>
  <c r="U9" i="2" s="1"/>
  <c r="V9" i="2" s="1"/>
  <c r="W9" i="2" s="1"/>
  <c r="Q8" i="2"/>
  <c r="S8" i="2" s="1"/>
  <c r="H8" i="2"/>
  <c r="Q7" i="2"/>
  <c r="S7" i="2" s="1"/>
  <c r="H7" i="2"/>
  <c r="K7" i="2" s="1"/>
  <c r="N7" i="2" s="1"/>
  <c r="AO7" i="2" s="1"/>
  <c r="AP7" i="2" s="1"/>
  <c r="AQ7" i="2" s="1"/>
  <c r="AW6" i="2"/>
  <c r="AX6" i="2" s="1"/>
  <c r="AB6" i="2"/>
  <c r="AC6" i="2" s="1"/>
  <c r="AD6" i="2" s="1"/>
  <c r="Q6" i="2"/>
  <c r="S6" i="2" s="1"/>
  <c r="AW5" i="2"/>
  <c r="AX5" i="2" s="1"/>
  <c r="AB5" i="2"/>
  <c r="AC5" i="2" s="1"/>
  <c r="Q5" i="2"/>
  <c r="S5" i="2" s="1"/>
  <c r="L6" i="2" l="1"/>
  <c r="R6" i="2" s="1"/>
  <c r="L9" i="2"/>
  <c r="R9" i="2" s="1"/>
  <c r="L5" i="2"/>
  <c r="K8" i="2"/>
  <c r="N8" i="2" s="1"/>
  <c r="L8" i="2"/>
  <c r="R8" i="2" s="1"/>
  <c r="AL12" i="2"/>
  <c r="AM12" i="2" s="1"/>
  <c r="AD5" i="2"/>
  <c r="X9" i="2"/>
  <c r="AO5" i="2"/>
  <c r="AP5" i="2" s="1"/>
  <c r="AQ5" i="2" s="1"/>
  <c r="U5" i="2"/>
  <c r="V5" i="2" s="1"/>
  <c r="L10" i="2"/>
  <c r="L7" i="2"/>
  <c r="AO6" i="2"/>
  <c r="AP6" i="2" s="1"/>
  <c r="AQ6" i="2" s="1"/>
  <c r="U6" i="2"/>
  <c r="V6" i="2" s="1"/>
  <c r="U7" i="2"/>
  <c r="V7" i="2" s="1"/>
  <c r="AO9" i="2"/>
  <c r="AP9" i="2" s="1"/>
  <c r="AQ9" i="2" s="1"/>
  <c r="U10" i="2"/>
  <c r="V10" i="2" s="1"/>
  <c r="AO10" i="2"/>
  <c r="AP10" i="2" s="1"/>
  <c r="AQ10" i="2" s="1"/>
  <c r="Z6" i="2"/>
  <c r="AE6" i="2" s="1"/>
  <c r="AS6" i="2" l="1"/>
  <c r="AY6" i="2" s="1"/>
  <c r="Z9" i="2"/>
  <c r="AE9" i="2" s="1"/>
  <c r="AF9" i="2" s="1"/>
  <c r="AG9" i="2" s="1"/>
  <c r="AH9" i="2" s="1"/>
  <c r="AJ9" i="2" s="1"/>
  <c r="AK9" i="2" s="1"/>
  <c r="AL9" i="2" s="1"/>
  <c r="AM9" i="2" s="1"/>
  <c r="AS10" i="2"/>
  <c r="AY10" i="2" s="1"/>
  <c r="AZ10" i="2" s="1"/>
  <c r="BA10" i="2" s="1"/>
  <c r="BD10" i="2" s="1"/>
  <c r="BE10" i="2" s="1"/>
  <c r="BF10" i="2" s="1"/>
  <c r="BG10" i="2" s="1"/>
  <c r="R10" i="2"/>
  <c r="Z7" i="2"/>
  <c r="AE7" i="2" s="1"/>
  <c r="R7" i="2"/>
  <c r="Z5" i="2"/>
  <c r="AE5" i="2" s="1"/>
  <c r="R5" i="2"/>
  <c r="AS9" i="2"/>
  <c r="AY9" i="2" s="1"/>
  <c r="AZ9" i="2" s="1"/>
  <c r="BA9" i="2" s="1"/>
  <c r="AS5" i="2"/>
  <c r="AY5" i="2" s="1"/>
  <c r="AZ5" i="2" s="1"/>
  <c r="BA5" i="2" s="1"/>
  <c r="AO8" i="2"/>
  <c r="AP8" i="2" s="1"/>
  <c r="AQ8" i="2" s="1"/>
  <c r="U8" i="2"/>
  <c r="V8" i="2" s="1"/>
  <c r="W8" i="2" s="1"/>
  <c r="X8" i="2" s="1"/>
  <c r="AS8" i="2"/>
  <c r="AY8" i="2" s="1"/>
  <c r="Z8" i="2"/>
  <c r="AE8" i="2" s="1"/>
  <c r="W10" i="2"/>
  <c r="X10" i="2" s="1"/>
  <c r="W7" i="2"/>
  <c r="X7" i="2" s="1"/>
  <c r="AZ6" i="2"/>
  <c r="BA6" i="2" s="1"/>
  <c r="W6" i="2"/>
  <c r="X6" i="2" s="1"/>
  <c r="AF6" i="2" s="1"/>
  <c r="AG6" i="2" s="1"/>
  <c r="AH6" i="2" s="1"/>
  <c r="W5" i="2"/>
  <c r="X5" i="2" s="1"/>
  <c r="Z10" i="2"/>
  <c r="AE10" i="2" s="1"/>
  <c r="AS7" i="2"/>
  <c r="AY7" i="2" s="1"/>
  <c r="AZ7" i="2" s="1"/>
  <c r="BA7" i="2" s="1"/>
  <c r="AF5" i="2" l="1"/>
  <c r="AG5" i="2" s="1"/>
  <c r="AH5" i="2" s="1"/>
  <c r="AI5" i="2" s="1"/>
  <c r="AF7" i="2"/>
  <c r="AG7" i="2" s="1"/>
  <c r="AH7" i="2" s="1"/>
  <c r="AJ7" i="2" s="1"/>
  <c r="AK7" i="2" s="1"/>
  <c r="AL7" i="2" s="1"/>
  <c r="AM7" i="2" s="1"/>
  <c r="BB10" i="2"/>
  <c r="BC10" i="2" s="1"/>
  <c r="BD7" i="2"/>
  <c r="BE7" i="2" s="1"/>
  <c r="BF7" i="2" s="1"/>
  <c r="BG7" i="2" s="1"/>
  <c r="BB6" i="2"/>
  <c r="BC6" i="2" s="1"/>
  <c r="BD6" i="2"/>
  <c r="BE6" i="2" s="1"/>
  <c r="BF6" i="2" s="1"/>
  <c r="BG6" i="2" s="1"/>
  <c r="BB9" i="2"/>
  <c r="BC9" i="2" s="1"/>
  <c r="BD9" i="2"/>
  <c r="BE9" i="2" s="1"/>
  <c r="BF9" i="2" s="1"/>
  <c r="BG9" i="2" s="1"/>
  <c r="BB5" i="2"/>
  <c r="BC5" i="2" s="1"/>
  <c r="BD5" i="2"/>
  <c r="BE5" i="2" s="1"/>
  <c r="BF5" i="2" s="1"/>
  <c r="AI9" i="2"/>
  <c r="AF8" i="2"/>
  <c r="AG8" i="2" s="1"/>
  <c r="AH8" i="2" s="1"/>
  <c r="AI8" i="2" s="1"/>
  <c r="AZ8" i="2"/>
  <c r="BA8" i="2" s="1"/>
  <c r="AF10" i="2"/>
  <c r="AG10" i="2" s="1"/>
  <c r="AH10" i="2" s="1"/>
  <c r="AJ10" i="2" s="1"/>
  <c r="AK10" i="2" s="1"/>
  <c r="AL10" i="2" s="1"/>
  <c r="AM10" i="2" s="1"/>
  <c r="AJ6" i="2"/>
  <c r="AK6" i="2" s="1"/>
  <c r="AL6" i="2" s="1"/>
  <c r="AM6" i="2" s="1"/>
  <c r="AI6" i="2"/>
  <c r="AJ5" i="2"/>
  <c r="AK5" i="2" s="1"/>
  <c r="AI7" i="2"/>
  <c r="BB7" i="2"/>
  <c r="BC7" i="2" s="1"/>
  <c r="AL5" i="2" l="1"/>
  <c r="AM5" i="2" s="1"/>
  <c r="C27" i="8" s="1"/>
  <c r="BG5" i="2"/>
  <c r="BB8" i="2"/>
  <c r="BC8" i="2" s="1"/>
  <c r="BD8" i="2"/>
  <c r="BE8" i="2" s="1"/>
  <c r="BF8" i="2" s="1"/>
  <c r="BG8" i="2" s="1"/>
  <c r="AI10" i="2"/>
  <c r="AJ8" i="2"/>
  <c r="AK8" i="2" s="1"/>
  <c r="AL8" i="2" s="1"/>
  <c r="AM8" i="2" s="1"/>
  <c r="K25" i="7"/>
  <c r="J25" i="7"/>
  <c r="I25" i="7"/>
  <c r="BE14" i="2" l="1"/>
  <c r="AJ14" i="2"/>
  <c r="D29" i="8"/>
  <c r="D30" i="8"/>
  <c r="D31" i="8"/>
  <c r="D32" i="8"/>
  <c r="D28" i="8"/>
  <c r="D27" i="8"/>
  <c r="C28" i="8"/>
  <c r="C29" i="8"/>
  <c r="C30" i="8"/>
  <c r="C31" i="8"/>
  <c r="C32" i="8"/>
  <c r="D33" i="8"/>
  <c r="C33" i="8" l="1"/>
  <c r="B2" i="8"/>
  <c r="B2" i="7"/>
  <c r="B2" i="9"/>
  <c r="K6" i="5" l="1"/>
  <c r="K7" i="5"/>
  <c r="K8" i="5"/>
  <c r="K11" i="5"/>
  <c r="K5" i="5"/>
  <c r="I11" i="5"/>
  <c r="I6" i="5"/>
  <c r="I7" i="5"/>
  <c r="I8" i="5"/>
  <c r="I5" i="5"/>
  <c r="D6" i="4"/>
  <c r="D7" i="4"/>
  <c r="D8" i="4"/>
  <c r="D9" i="4"/>
  <c r="D10" i="4"/>
  <c r="D12" i="4"/>
  <c r="D14" i="4"/>
  <c r="D15" i="4"/>
  <c r="D16" i="4"/>
  <c r="D5" i="4"/>
  <c r="C6" i="1"/>
  <c r="C7" i="1"/>
  <c r="C8" i="1"/>
  <c r="C9" i="1"/>
  <c r="C10" i="1"/>
  <c r="C11" i="1"/>
  <c r="C13" i="1"/>
  <c r="C14" i="1"/>
  <c r="C16" i="1"/>
  <c r="C17" i="1"/>
  <c r="C18" i="1"/>
  <c r="C5" i="1"/>
  <c r="V7" i="1" l="1"/>
  <c r="I14" i="1"/>
  <c r="I13" i="1"/>
  <c r="I11" i="1"/>
  <c r="I10" i="1"/>
  <c r="I9" i="1"/>
  <c r="I8" i="1"/>
  <c r="I7" i="1"/>
  <c r="I6" i="1"/>
  <c r="I5" i="1"/>
  <c r="H14" i="1"/>
  <c r="H13" i="1"/>
  <c r="H11" i="1"/>
  <c r="H10" i="1"/>
  <c r="H9" i="1"/>
  <c r="H8" i="1"/>
  <c r="H7" i="1"/>
  <c r="H6" i="1"/>
  <c r="H5" i="1"/>
  <c r="BM18" i="1"/>
  <c r="BN18" i="1" s="1"/>
  <c r="AO18" i="1"/>
  <c r="AP18" i="1" s="1"/>
  <c r="P18" i="1"/>
  <c r="BM17" i="1"/>
  <c r="BN17" i="1" s="1"/>
  <c r="AO17" i="1"/>
  <c r="AP17" i="1" s="1"/>
  <c r="P17" i="1"/>
  <c r="BM16" i="1"/>
  <c r="AO16" i="1"/>
  <c r="AP16" i="1" s="1"/>
  <c r="P16" i="1"/>
  <c r="Q14" i="1"/>
  <c r="AS14" i="1" s="1"/>
  <c r="AZ14" i="1" s="1"/>
  <c r="BA14" i="1" s="1"/>
  <c r="P14" i="1"/>
  <c r="G14" i="1"/>
  <c r="Q13" i="1"/>
  <c r="AS13" i="1" s="1"/>
  <c r="AT13" i="1" s="1"/>
  <c r="P13" i="1"/>
  <c r="G13" i="1"/>
  <c r="AS11" i="1"/>
  <c r="AZ11" i="1" s="1"/>
  <c r="BA11" i="1" s="1"/>
  <c r="T11" i="1"/>
  <c r="U11" i="1" s="1"/>
  <c r="P11" i="1"/>
  <c r="G11" i="1"/>
  <c r="AS10" i="1"/>
  <c r="AZ10" i="1" s="1"/>
  <c r="BA10" i="1" s="1"/>
  <c r="T10" i="1"/>
  <c r="U10" i="1" s="1"/>
  <c r="P10" i="1"/>
  <c r="G10" i="1"/>
  <c r="AS9" i="1"/>
  <c r="AZ9" i="1" s="1"/>
  <c r="BA9" i="1" s="1"/>
  <c r="T9" i="1"/>
  <c r="U9" i="1" s="1"/>
  <c r="P9" i="1"/>
  <c r="G9" i="1"/>
  <c r="AS8" i="1"/>
  <c r="AT8" i="1" s="1"/>
  <c r="T8" i="1"/>
  <c r="U8" i="1" s="1"/>
  <c r="V8" i="1" s="1"/>
  <c r="N8" i="1"/>
  <c r="G8" i="1"/>
  <c r="AZ7" i="1"/>
  <c r="AV7" i="1"/>
  <c r="AX7" i="1" s="1"/>
  <c r="AY7" i="1" s="1"/>
  <c r="AT7" i="1"/>
  <c r="X7" i="1"/>
  <c r="Z7" i="1" s="1"/>
  <c r="AA7" i="1" s="1"/>
  <c r="AB7" i="1" s="1"/>
  <c r="N7" i="1"/>
  <c r="P7" i="1" s="1"/>
  <c r="G7" i="1"/>
  <c r="BC6" i="1"/>
  <c r="AS6" i="1"/>
  <c r="AT6" i="1" s="1"/>
  <c r="AF6" i="1"/>
  <c r="T6" i="1"/>
  <c r="U6" i="1" s="1"/>
  <c r="P6" i="1"/>
  <c r="G6" i="1"/>
  <c r="AS5" i="1"/>
  <c r="AT5" i="1" s="1"/>
  <c r="T5" i="1"/>
  <c r="U5" i="1" s="1"/>
  <c r="V5" i="1" s="1"/>
  <c r="P5" i="1"/>
  <c r="G5" i="1"/>
  <c r="J8" i="1" l="1"/>
  <c r="J13" i="1"/>
  <c r="J6" i="1"/>
  <c r="J10" i="1"/>
  <c r="J7" i="1"/>
  <c r="J11" i="1"/>
  <c r="J5" i="1"/>
  <c r="J9" i="1"/>
  <c r="J14" i="1"/>
  <c r="BA7" i="1"/>
  <c r="AT10" i="1"/>
  <c r="T13" i="1"/>
  <c r="U13" i="1" s="1"/>
  <c r="V13" i="1" s="1"/>
  <c r="AC13" i="1" s="1"/>
  <c r="AD13" i="1" s="1"/>
  <c r="AT11" i="1"/>
  <c r="T14" i="1"/>
  <c r="U14" i="1" s="1"/>
  <c r="V14" i="1" s="1"/>
  <c r="AC14" i="1" s="1"/>
  <c r="AD14" i="1" s="1"/>
  <c r="L10" i="1"/>
  <c r="AZ8" i="1"/>
  <c r="BA8" i="1" s="1"/>
  <c r="AQ16" i="1"/>
  <c r="C14" i="8" s="1"/>
  <c r="AQ17" i="1"/>
  <c r="C15" i="8" s="1"/>
  <c r="AQ18" i="1"/>
  <c r="C16" i="8" s="1"/>
  <c r="AZ6" i="1"/>
  <c r="BA6" i="1" s="1"/>
  <c r="AT9" i="1"/>
  <c r="L9" i="1"/>
  <c r="K9" i="1" s="1"/>
  <c r="L14" i="1"/>
  <c r="BC14" i="1" s="1"/>
  <c r="BE14" i="1" s="1"/>
  <c r="BF14" i="1" s="1"/>
  <c r="BG14" i="1" s="1"/>
  <c r="BH14" i="1" s="1"/>
  <c r="BK14" i="1" s="1"/>
  <c r="V9" i="1"/>
  <c r="AC9" i="1" s="1"/>
  <c r="AD9" i="1" s="1"/>
  <c r="V10" i="1"/>
  <c r="AC10" i="1" s="1"/>
  <c r="AD10" i="1" s="1"/>
  <c r="AC8" i="1"/>
  <c r="AD8" i="1" s="1"/>
  <c r="AT14" i="1"/>
  <c r="V11" i="1"/>
  <c r="AC11" i="1" s="1"/>
  <c r="AD11" i="1" s="1"/>
  <c r="AC5" i="1"/>
  <c r="AD5" i="1" s="1"/>
  <c r="V6" i="1"/>
  <c r="AC6" i="1" s="1"/>
  <c r="AD6" i="1" s="1"/>
  <c r="BN16" i="1"/>
  <c r="D16" i="8"/>
  <c r="D15" i="8"/>
  <c r="L8" i="1"/>
  <c r="AF8" i="1" s="1"/>
  <c r="AH8" i="1" s="1"/>
  <c r="AI8" i="1" s="1"/>
  <c r="L13" i="1"/>
  <c r="O13" i="1" s="1"/>
  <c r="L7" i="1"/>
  <c r="L5" i="1"/>
  <c r="L11" i="1"/>
  <c r="AC7" i="1"/>
  <c r="AD7" i="1" s="1"/>
  <c r="AG6" i="1"/>
  <c r="AH6" i="1" s="1"/>
  <c r="AI6" i="1" s="1"/>
  <c r="BD6" i="1"/>
  <c r="BE6" i="1" s="1"/>
  <c r="AZ5" i="1"/>
  <c r="BA5" i="1" s="1"/>
  <c r="AZ13" i="1"/>
  <c r="BA13" i="1" s="1"/>
  <c r="G6" i="5"/>
  <c r="G7" i="5"/>
  <c r="G8" i="5"/>
  <c r="G11" i="5"/>
  <c r="G5" i="5"/>
  <c r="I14" i="4"/>
  <c r="J14" i="4"/>
  <c r="I15" i="4"/>
  <c r="J15" i="4"/>
  <c r="I16" i="4"/>
  <c r="J16" i="4"/>
  <c r="J12" i="4"/>
  <c r="I12" i="4"/>
  <c r="I7" i="4"/>
  <c r="I8" i="4"/>
  <c r="J8" i="4"/>
  <c r="I9" i="4"/>
  <c r="J9" i="4"/>
  <c r="J5" i="4"/>
  <c r="I5" i="4"/>
  <c r="O11" i="1" l="1"/>
  <c r="K11" i="1"/>
  <c r="O10" i="1"/>
  <c r="K10" i="1"/>
  <c r="BC7" i="1"/>
  <c r="BE7" i="1" s="1"/>
  <c r="K7" i="1"/>
  <c r="AF5" i="1"/>
  <c r="AH5" i="1" s="1"/>
  <c r="AI5" i="1" s="1"/>
  <c r="AJ5" i="1" s="1"/>
  <c r="AK5" i="1" s="1"/>
  <c r="AL5" i="1" s="1"/>
  <c r="AM5" i="1" s="1"/>
  <c r="BF7" i="1"/>
  <c r="BG7" i="1" s="1"/>
  <c r="BH7" i="1" s="1"/>
  <c r="BK7" i="1" s="1"/>
  <c r="BL7" i="1" s="1"/>
  <c r="BM7" i="1" s="1"/>
  <c r="BN7" i="1" s="1"/>
  <c r="D7" i="8" s="1"/>
  <c r="K8" i="4"/>
  <c r="K15" i="4"/>
  <c r="K16" i="4"/>
  <c r="K9" i="4"/>
  <c r="K12" i="4"/>
  <c r="O14" i="1"/>
  <c r="K14" i="4"/>
  <c r="K5" i="4"/>
  <c r="BC13" i="1"/>
  <c r="BE13" i="1" s="1"/>
  <c r="BF13" i="1" s="1"/>
  <c r="BG13" i="1" s="1"/>
  <c r="BH13" i="1" s="1"/>
  <c r="BK13" i="1" s="1"/>
  <c r="AF14" i="1"/>
  <c r="AH14" i="1" s="1"/>
  <c r="AI14" i="1" s="1"/>
  <c r="AJ14" i="1" s="1"/>
  <c r="AK14" i="1" s="1"/>
  <c r="AL14" i="1" s="1"/>
  <c r="AM14" i="1" s="1"/>
  <c r="AF10" i="1"/>
  <c r="AH10" i="1" s="1"/>
  <c r="AI10" i="1" s="1"/>
  <c r="AJ10" i="1" s="1"/>
  <c r="AK10" i="1" s="1"/>
  <c r="AL10" i="1" s="1"/>
  <c r="AM10" i="1" s="1"/>
  <c r="BC10" i="1"/>
  <c r="BE10" i="1" s="1"/>
  <c r="BF10" i="1" s="1"/>
  <c r="BG10" i="1" s="1"/>
  <c r="BH10" i="1" s="1"/>
  <c r="BF6" i="1"/>
  <c r="BG6" i="1" s="1"/>
  <c r="BH6" i="1" s="1"/>
  <c r="AF9" i="1"/>
  <c r="AH9" i="1" s="1"/>
  <c r="AI9" i="1" s="1"/>
  <c r="AJ9" i="1" s="1"/>
  <c r="AK9" i="1" s="1"/>
  <c r="AL9" i="1" s="1"/>
  <c r="AM9" i="1" s="1"/>
  <c r="K14" i="1"/>
  <c r="BC9" i="1"/>
  <c r="BE9" i="1" s="1"/>
  <c r="BF9" i="1" s="1"/>
  <c r="BG9" i="1" s="1"/>
  <c r="BH9" i="1" s="1"/>
  <c r="AJ8" i="1"/>
  <c r="AK8" i="1" s="1"/>
  <c r="AL8" i="1" s="1"/>
  <c r="AN8" i="1" s="1"/>
  <c r="AO8" i="1" s="1"/>
  <c r="D14" i="8"/>
  <c r="AJ6" i="1"/>
  <c r="AK6" i="1" s="1"/>
  <c r="AL6" i="1" s="1"/>
  <c r="AM6" i="1" s="1"/>
  <c r="BC8" i="1"/>
  <c r="BE8" i="1" s="1"/>
  <c r="BF8" i="1" s="1"/>
  <c r="BG8" i="1" s="1"/>
  <c r="BH8" i="1" s="1"/>
  <c r="AF13" i="1"/>
  <c r="AH13" i="1" s="1"/>
  <c r="AI13" i="1" s="1"/>
  <c r="AJ13" i="1" s="1"/>
  <c r="AK13" i="1" s="1"/>
  <c r="AL13" i="1" s="1"/>
  <c r="AM13" i="1" s="1"/>
  <c r="K13" i="1"/>
  <c r="AF7" i="1"/>
  <c r="AH7" i="1" s="1"/>
  <c r="AI7" i="1" s="1"/>
  <c r="AJ7" i="1" s="1"/>
  <c r="AK7" i="1" s="1"/>
  <c r="AL7" i="1" s="1"/>
  <c r="K5" i="1"/>
  <c r="BC11" i="1"/>
  <c r="BE11" i="1" s="1"/>
  <c r="BF11" i="1" s="1"/>
  <c r="BG11" i="1" s="1"/>
  <c r="BH11" i="1" s="1"/>
  <c r="BC5" i="1"/>
  <c r="BE5" i="1" s="1"/>
  <c r="BF5" i="1" s="1"/>
  <c r="BG5" i="1" s="1"/>
  <c r="BH5" i="1" s="1"/>
  <c r="BK5" i="1" s="1"/>
  <c r="AF11" i="1"/>
  <c r="AH11" i="1" s="1"/>
  <c r="AI11" i="1" s="1"/>
  <c r="AJ11" i="1" s="1"/>
  <c r="AK11" i="1" s="1"/>
  <c r="AL11" i="1" s="1"/>
  <c r="AN11" i="1" s="1"/>
  <c r="AO11" i="1" s="1"/>
  <c r="BL14" i="1"/>
  <c r="BM14" i="1" s="1"/>
  <c r="BI14" i="1"/>
  <c r="BJ14" i="1" s="1"/>
  <c r="BI7" i="1" l="1"/>
  <c r="BJ7" i="1" s="1"/>
  <c r="AN6" i="1"/>
  <c r="AO6" i="1" s="1"/>
  <c r="AP6" i="1" s="1"/>
  <c r="AQ6" i="1" s="1"/>
  <c r="C6" i="8" s="1"/>
  <c r="AN5" i="1"/>
  <c r="AO5" i="1" s="1"/>
  <c r="BK6" i="1"/>
  <c r="BL6" i="1" s="1"/>
  <c r="BM6" i="1" s="1"/>
  <c r="BI6" i="1"/>
  <c r="BJ6" i="1" s="1"/>
  <c r="BI8" i="1"/>
  <c r="BJ8" i="1" s="1"/>
  <c r="BK8" i="1"/>
  <c r="BL8" i="1" s="1"/>
  <c r="BM8" i="1" s="1"/>
  <c r="BN8" i="1" s="1"/>
  <c r="D8" i="8" s="1"/>
  <c r="AP8" i="1"/>
  <c r="AQ8" i="1" s="1"/>
  <c r="C8" i="8" s="1"/>
  <c r="BK11" i="1"/>
  <c r="BL11" i="1" s="1"/>
  <c r="BM11" i="1" s="1"/>
  <c r="BN11" i="1" s="1"/>
  <c r="D11" i="8" s="1"/>
  <c r="BK9" i="1"/>
  <c r="BL9" i="1" s="1"/>
  <c r="BM9" i="1" s="1"/>
  <c r="BN9" i="1" s="1"/>
  <c r="D9" i="8" s="1"/>
  <c r="AN14" i="1"/>
  <c r="AO14" i="1" s="1"/>
  <c r="AN13" i="1"/>
  <c r="AO13" i="1" s="1"/>
  <c r="BK10" i="1"/>
  <c r="BL10" i="1" s="1"/>
  <c r="BM10" i="1" s="1"/>
  <c r="BN10" i="1" s="1"/>
  <c r="D10" i="8" s="1"/>
  <c r="BI9" i="1"/>
  <c r="BJ9" i="1" s="1"/>
  <c r="BI10" i="1"/>
  <c r="BJ10" i="1" s="1"/>
  <c r="AP11" i="1"/>
  <c r="AQ11" i="1" s="1"/>
  <c r="C11" i="8" s="1"/>
  <c r="AM8" i="1"/>
  <c r="AM11" i="1"/>
  <c r="AN10" i="1"/>
  <c r="AO10" i="1" s="1"/>
  <c r="AN9" i="1"/>
  <c r="AO9" i="1" s="1"/>
  <c r="BN14" i="1"/>
  <c r="BI11" i="1"/>
  <c r="BJ11" i="1" s="1"/>
  <c r="BI13" i="1"/>
  <c r="BJ13" i="1" s="1"/>
  <c r="BL13" i="1"/>
  <c r="BM13" i="1" s="1"/>
  <c r="AN7" i="1"/>
  <c r="AO7" i="1" s="1"/>
  <c r="AM7" i="1"/>
  <c r="BI5" i="1"/>
  <c r="BJ5" i="1" s="1"/>
  <c r="BL5" i="1"/>
  <c r="BM5" i="1" s="1"/>
  <c r="BL20" i="1" l="1"/>
  <c r="BL21" i="1"/>
  <c r="BL23" i="1"/>
  <c r="AP5" i="1"/>
  <c r="AQ5" i="1" s="1"/>
  <c r="C5" i="8" s="1"/>
  <c r="AN20" i="1"/>
  <c r="AN21" i="1"/>
  <c r="AN23" i="1"/>
  <c r="BN6" i="1"/>
  <c r="D6" i="8" s="1"/>
  <c r="AP13" i="1"/>
  <c r="AQ13" i="1" s="1"/>
  <c r="C12" i="8" s="1"/>
  <c r="AP9" i="1"/>
  <c r="AQ9" i="1" s="1"/>
  <c r="C9" i="8" s="1"/>
  <c r="AP10" i="1"/>
  <c r="AQ10" i="1" s="1"/>
  <c r="C10" i="8" s="1"/>
  <c r="AP14" i="1"/>
  <c r="AQ14" i="1" s="1"/>
  <c r="C13" i="8" s="1"/>
  <c r="AP7" i="1"/>
  <c r="AQ7" i="1" s="1"/>
  <c r="C7" i="8" s="1"/>
  <c r="D13" i="8"/>
  <c r="BN13" i="1"/>
  <c r="BN5" i="1"/>
  <c r="D5" i="8" s="1"/>
  <c r="Y16" i="4"/>
  <c r="Z16" i="4" s="1"/>
  <c r="AA16" i="4" s="1"/>
  <c r="S16" i="4"/>
  <c r="L16" i="4"/>
  <c r="R16" i="4" s="1"/>
  <c r="H16" i="4"/>
  <c r="N16" i="4" s="1"/>
  <c r="Y15" i="4"/>
  <c r="Z15" i="4" s="1"/>
  <c r="AA15" i="4" s="1"/>
  <c r="S15" i="4"/>
  <c r="H15" i="4"/>
  <c r="N15" i="4" s="1"/>
  <c r="S14" i="4"/>
  <c r="H14" i="4"/>
  <c r="N14" i="4" s="1"/>
  <c r="Y12" i="4"/>
  <c r="Z12" i="4" s="1"/>
  <c r="AA12" i="4" s="1"/>
  <c r="S12" i="4"/>
  <c r="L12" i="4"/>
  <c r="R12" i="4" s="1"/>
  <c r="H12" i="4"/>
  <c r="N12" i="4" s="1"/>
  <c r="BF10" i="4"/>
  <c r="AL10" i="4"/>
  <c r="Y9" i="4"/>
  <c r="Z9" i="4" s="1"/>
  <c r="AA9" i="4" s="1"/>
  <c r="S9" i="4"/>
  <c r="L9" i="4"/>
  <c r="H9" i="4"/>
  <c r="N9" i="4" s="1"/>
  <c r="AS8" i="4"/>
  <c r="AT8" i="4" s="1"/>
  <c r="AX5" i="4" s="1"/>
  <c r="Y8" i="4"/>
  <c r="Z8" i="4" s="1"/>
  <c r="AA8" i="4" s="1"/>
  <c r="S8" i="4"/>
  <c r="N8" i="4"/>
  <c r="H8" i="4"/>
  <c r="AT7" i="4"/>
  <c r="Y7" i="4"/>
  <c r="Z7" i="4" s="1"/>
  <c r="AA7" i="4" s="1"/>
  <c r="S7" i="4"/>
  <c r="Y6" i="4"/>
  <c r="Z6" i="4" s="1"/>
  <c r="AA6" i="4" s="1"/>
  <c r="S6" i="4"/>
  <c r="G6" i="4"/>
  <c r="Y5" i="4"/>
  <c r="Z5" i="4" s="1"/>
  <c r="AA5" i="4" s="1"/>
  <c r="S5" i="4"/>
  <c r="H5" i="4"/>
  <c r="H26" i="7"/>
  <c r="H29" i="7" s="1"/>
  <c r="J6" i="4" l="1"/>
  <c r="L5" i="4"/>
  <c r="H32" i="7"/>
  <c r="B12" i="9" s="1"/>
  <c r="BG10" i="4"/>
  <c r="D22" i="8" s="1"/>
  <c r="D12" i="8"/>
  <c r="AM10" i="4"/>
  <c r="G7" i="4"/>
  <c r="J7" i="4" s="1"/>
  <c r="K7" i="4" s="1"/>
  <c r="N5" i="4"/>
  <c r="AE5" i="4"/>
  <c r="AW12" i="4"/>
  <c r="AY12" i="4" s="1"/>
  <c r="AD12" i="4"/>
  <c r="AF12" i="4" s="1"/>
  <c r="U12" i="4"/>
  <c r="V12" i="4" s="1"/>
  <c r="AP12" i="4"/>
  <c r="AQ12" i="4" s="1"/>
  <c r="AU12" i="4" s="1"/>
  <c r="AP15" i="4"/>
  <c r="AQ15" i="4" s="1"/>
  <c r="AU15" i="4" s="1"/>
  <c r="U15" i="4"/>
  <c r="V15" i="4" s="1"/>
  <c r="AD9" i="4"/>
  <c r="AF9" i="4" s="1"/>
  <c r="AW9" i="4"/>
  <c r="AY9" i="4" s="1"/>
  <c r="AP14" i="4"/>
  <c r="AQ14" i="4" s="1"/>
  <c r="AU14" i="4" s="1"/>
  <c r="U14" i="4"/>
  <c r="V14" i="4" s="1"/>
  <c r="AD16" i="4"/>
  <c r="AF16" i="4" s="1"/>
  <c r="AW16" i="4"/>
  <c r="AY16" i="4" s="1"/>
  <c r="AP8" i="4"/>
  <c r="AQ8" i="4" s="1"/>
  <c r="AU8" i="4" s="1"/>
  <c r="U8" i="4"/>
  <c r="V8" i="4" s="1"/>
  <c r="AP9" i="4"/>
  <c r="AQ9" i="4" s="1"/>
  <c r="AU9" i="4" s="1"/>
  <c r="U9" i="4"/>
  <c r="V9" i="4" s="1"/>
  <c r="U16" i="4"/>
  <c r="V16" i="4" s="1"/>
  <c r="AP16" i="4"/>
  <c r="AQ16" i="4" s="1"/>
  <c r="AU16" i="4" s="1"/>
  <c r="L8" i="4"/>
  <c r="R8" i="4" s="1"/>
  <c r="L14" i="4"/>
  <c r="R14" i="4" s="1"/>
  <c r="L15" i="4"/>
  <c r="R15" i="4" s="1"/>
  <c r="C5" i="5"/>
  <c r="C6" i="5"/>
  <c r="C7" i="5"/>
  <c r="C8" i="5"/>
  <c r="I6" i="7"/>
  <c r="I7" i="7"/>
  <c r="J7" i="7"/>
  <c r="K7" i="7"/>
  <c r="I8" i="7"/>
  <c r="J8" i="7"/>
  <c r="K8" i="7"/>
  <c r="I9" i="7"/>
  <c r="J9" i="7"/>
  <c r="K9" i="7"/>
  <c r="I10" i="7"/>
  <c r="J10" i="7"/>
  <c r="K10" i="7"/>
  <c r="I11" i="7"/>
  <c r="J11" i="7"/>
  <c r="K11" i="7"/>
  <c r="I12" i="7"/>
  <c r="J12" i="7"/>
  <c r="K12" i="7"/>
  <c r="I13" i="7"/>
  <c r="J13" i="7"/>
  <c r="K13" i="7"/>
  <c r="I14" i="7"/>
  <c r="J14" i="7"/>
  <c r="K14" i="7"/>
  <c r="I15" i="7"/>
  <c r="J15" i="7"/>
  <c r="K15" i="7"/>
  <c r="I16" i="7"/>
  <c r="J16" i="7"/>
  <c r="K16" i="7"/>
  <c r="I17" i="7"/>
  <c r="J17" i="7"/>
  <c r="K17" i="7"/>
  <c r="I18" i="7"/>
  <c r="J18" i="7"/>
  <c r="K18" i="7"/>
  <c r="I19" i="7"/>
  <c r="J19" i="7"/>
  <c r="K19" i="7"/>
  <c r="I20" i="7"/>
  <c r="J20" i="7"/>
  <c r="K20" i="7"/>
  <c r="I21" i="7"/>
  <c r="J21" i="7"/>
  <c r="K21" i="7"/>
  <c r="I22" i="7"/>
  <c r="J22" i="7"/>
  <c r="K22" i="7"/>
  <c r="I23" i="7"/>
  <c r="J23" i="7"/>
  <c r="K23" i="7"/>
  <c r="I24" i="7"/>
  <c r="J24" i="7"/>
  <c r="K24" i="7"/>
  <c r="K6" i="7"/>
  <c r="J6" i="7"/>
  <c r="L11" i="5"/>
  <c r="L8" i="5"/>
  <c r="L7" i="5"/>
  <c r="L6" i="5"/>
  <c r="L5" i="5"/>
  <c r="C10" i="5"/>
  <c r="C11" i="5"/>
  <c r="J26" i="7" l="1"/>
  <c r="J27" i="7" s="1"/>
  <c r="AN10" i="4"/>
  <c r="C22" i="8" s="1"/>
  <c r="W16" i="4"/>
  <c r="AB16" i="4" s="1"/>
  <c r="AG16" i="4" s="1"/>
  <c r="AH16" i="4" s="1"/>
  <c r="AI16" i="4" s="1"/>
  <c r="W14" i="4"/>
  <c r="AB14" i="4" s="1"/>
  <c r="W15" i="4"/>
  <c r="AB15" i="4" s="1"/>
  <c r="W8" i="4"/>
  <c r="AB8" i="4" s="1"/>
  <c r="W12" i="4"/>
  <c r="AB12" i="4" s="1"/>
  <c r="AG12" i="4" s="1"/>
  <c r="AH12" i="4" s="1"/>
  <c r="AI12" i="4" s="1"/>
  <c r="W9" i="4"/>
  <c r="AB9" i="4" s="1"/>
  <c r="AG9" i="4" s="1"/>
  <c r="AH9" i="4" s="1"/>
  <c r="AI9" i="4" s="1"/>
  <c r="AZ12" i="4"/>
  <c r="BA12" i="4" s="1"/>
  <c r="AD15" i="4"/>
  <c r="AF15" i="4" s="1"/>
  <c r="AW15" i="4"/>
  <c r="AY15" i="4" s="1"/>
  <c r="AZ15" i="4" s="1"/>
  <c r="BA15" i="4" s="1"/>
  <c r="BD15" i="4" s="1"/>
  <c r="H7" i="4"/>
  <c r="F6" i="4"/>
  <c r="I6" i="4" s="1"/>
  <c r="K6" i="4" s="1"/>
  <c r="AD5" i="4"/>
  <c r="AF5" i="4" s="1"/>
  <c r="AW5" i="4"/>
  <c r="AY5" i="4" s="1"/>
  <c r="U5" i="4"/>
  <c r="V5" i="4" s="1"/>
  <c r="AP5" i="4"/>
  <c r="AQ5" i="4" s="1"/>
  <c r="AU5" i="4" s="1"/>
  <c r="AZ9" i="4"/>
  <c r="BA9" i="4" s="1"/>
  <c r="BD9" i="4" s="1"/>
  <c r="AW8" i="4"/>
  <c r="AY8" i="4" s="1"/>
  <c r="AZ8" i="4" s="1"/>
  <c r="BA8" i="4" s="1"/>
  <c r="BD8" i="4" s="1"/>
  <c r="AD8" i="4"/>
  <c r="AF8" i="4" s="1"/>
  <c r="AW14" i="4"/>
  <c r="AY14" i="4" s="1"/>
  <c r="AZ14" i="4" s="1"/>
  <c r="BA14" i="4" s="1"/>
  <c r="BD14" i="4" s="1"/>
  <c r="AD14" i="4"/>
  <c r="AF14" i="4" s="1"/>
  <c r="AZ16" i="4"/>
  <c r="BA16" i="4" s="1"/>
  <c r="BD16" i="4" s="1"/>
  <c r="I26" i="7"/>
  <c r="I27" i="7" s="1"/>
  <c r="K26" i="7"/>
  <c r="K27" i="7" s="1"/>
  <c r="BD12" i="4" l="1"/>
  <c r="BE12" i="4" s="1"/>
  <c r="BF12" i="4" s="1"/>
  <c r="BG12" i="4" s="1"/>
  <c r="D23" i="8" s="1"/>
  <c r="AG14" i="4"/>
  <c r="AH14" i="4" s="1"/>
  <c r="AI14" i="4" s="1"/>
  <c r="AK14" i="4" s="1"/>
  <c r="AL14" i="4" s="1"/>
  <c r="AM14" i="4" s="1"/>
  <c r="AG8" i="4"/>
  <c r="AH8" i="4" s="1"/>
  <c r="AI8" i="4" s="1"/>
  <c r="AK8" i="4" s="1"/>
  <c r="AL8" i="4" s="1"/>
  <c r="AM8" i="4" s="1"/>
  <c r="AG15" i="4"/>
  <c r="AH15" i="4" s="1"/>
  <c r="AI15" i="4" s="1"/>
  <c r="AJ15" i="4" s="1"/>
  <c r="W5" i="4"/>
  <c r="AB5" i="4" s="1"/>
  <c r="AG5" i="4" s="1"/>
  <c r="AH5" i="4" s="1"/>
  <c r="AI5" i="4" s="1"/>
  <c r="AJ5" i="4" s="1"/>
  <c r="BB12" i="4"/>
  <c r="BC12" i="4" s="1"/>
  <c r="AZ5" i="4"/>
  <c r="BA5" i="4" s="1"/>
  <c r="BE16" i="4"/>
  <c r="BF16" i="4" s="1"/>
  <c r="BB16" i="4"/>
  <c r="BC16" i="4" s="1"/>
  <c r="AJ16" i="4"/>
  <c r="AK16" i="4"/>
  <c r="AL16" i="4" s="1"/>
  <c r="AM16" i="4" s="1"/>
  <c r="AK15" i="4"/>
  <c r="AL15" i="4" s="1"/>
  <c r="AM15" i="4" s="1"/>
  <c r="AK9" i="4"/>
  <c r="AL9" i="4" s="1"/>
  <c r="AM9" i="4" s="1"/>
  <c r="AJ9" i="4"/>
  <c r="AJ12" i="4"/>
  <c r="AK12" i="4"/>
  <c r="AL12" i="4" s="1"/>
  <c r="AM12" i="4" s="1"/>
  <c r="L7" i="4"/>
  <c r="R7" i="4" s="1"/>
  <c r="N7" i="4"/>
  <c r="BE15" i="4"/>
  <c r="BF15" i="4" s="1"/>
  <c r="BB15" i="4"/>
  <c r="BC15" i="4" s="1"/>
  <c r="BB14" i="4"/>
  <c r="BC14" i="4" s="1"/>
  <c r="BE14" i="4"/>
  <c r="BF14" i="4" s="1"/>
  <c r="BE9" i="4"/>
  <c r="BF9" i="4" s="1"/>
  <c r="BB9" i="4"/>
  <c r="BC9" i="4" s="1"/>
  <c r="BB8" i="4"/>
  <c r="BC8" i="4" s="1"/>
  <c r="BE8" i="4"/>
  <c r="BF8" i="4" s="1"/>
  <c r="H6" i="4"/>
  <c r="BB5" i="4" l="1"/>
  <c r="BC5" i="4" s="1"/>
  <c r="BD5" i="4"/>
  <c r="BE5" i="4" s="1"/>
  <c r="BF5" i="4" s="1"/>
  <c r="AJ14" i="4"/>
  <c r="BG8" i="4"/>
  <c r="D20" i="8" s="1"/>
  <c r="AJ8" i="4"/>
  <c r="BG15" i="4"/>
  <c r="D25" i="8" s="1"/>
  <c r="BG14" i="4"/>
  <c r="D24" i="8" s="1"/>
  <c r="BG9" i="4"/>
  <c r="D21" i="8" s="1"/>
  <c r="BG16" i="4"/>
  <c r="D26" i="8" s="1"/>
  <c r="AN9" i="4"/>
  <c r="C21" i="8" s="1"/>
  <c r="AN15" i="4"/>
  <c r="C25" i="8" s="1"/>
  <c r="AN8" i="4"/>
  <c r="C20" i="8" s="1"/>
  <c r="AN14" i="4"/>
  <c r="C24" i="8" s="1"/>
  <c r="AN16" i="4"/>
  <c r="C26" i="8" s="1"/>
  <c r="AN12" i="4"/>
  <c r="C23" i="8" s="1"/>
  <c r="AK5" i="4"/>
  <c r="AL5" i="4" s="1"/>
  <c r="AW7" i="4"/>
  <c r="AY7" i="4" s="1"/>
  <c r="AD7" i="4"/>
  <c r="AF7" i="4" s="1"/>
  <c r="N6" i="4"/>
  <c r="L6" i="4"/>
  <c r="R6" i="4" s="1"/>
  <c r="U7" i="4"/>
  <c r="V7" i="4" s="1"/>
  <c r="AP7" i="4"/>
  <c r="AQ7" i="4" s="1"/>
  <c r="AU7" i="4" s="1"/>
  <c r="AM5" i="4" l="1"/>
  <c r="AN5" i="4" s="1"/>
  <c r="C17" i="8" s="1"/>
  <c r="BG5" i="4"/>
  <c r="D17" i="8" s="1"/>
  <c r="W7" i="4"/>
  <c r="AB7" i="4" s="1"/>
  <c r="AG7" i="4" s="1"/>
  <c r="AH7" i="4" s="1"/>
  <c r="AI7" i="4" s="1"/>
  <c r="AZ7" i="4"/>
  <c r="BA7" i="4" s="1"/>
  <c r="AW6" i="4"/>
  <c r="AY6" i="4" s="1"/>
  <c r="AD6" i="4"/>
  <c r="AF6" i="4" s="1"/>
  <c r="U6" i="4"/>
  <c r="V6" i="4" s="1"/>
  <c r="AP6" i="4"/>
  <c r="AQ6" i="4" s="1"/>
  <c r="AU6" i="4" s="1"/>
  <c r="BD7" i="4" l="1"/>
  <c r="BE7" i="4" s="1"/>
  <c r="BF7" i="4" s="1"/>
  <c r="BG7" i="4" s="1"/>
  <c r="D19" i="8" s="1"/>
  <c r="W6" i="4"/>
  <c r="AB6" i="4" s="1"/>
  <c r="AG6" i="4" s="1"/>
  <c r="AH6" i="4" s="1"/>
  <c r="AI6" i="4" s="1"/>
  <c r="BB7" i="4"/>
  <c r="BC7" i="4" s="1"/>
  <c r="AZ6" i="4"/>
  <c r="BA6" i="4" s="1"/>
  <c r="AJ7" i="4"/>
  <c r="AK7" i="4"/>
  <c r="AL7" i="4" s="1"/>
  <c r="AM7" i="4" s="1"/>
  <c r="U10" i="5"/>
  <c r="Q10" i="5"/>
  <c r="R10" i="5" s="1"/>
  <c r="BB6" i="4" l="1"/>
  <c r="BC6" i="4" s="1"/>
  <c r="BD6" i="4"/>
  <c r="BE6" i="4" s="1"/>
  <c r="BF6" i="4" s="1"/>
  <c r="BE18" i="4" s="1"/>
  <c r="V10" i="5"/>
  <c r="D38" i="8" s="1"/>
  <c r="S10" i="5"/>
  <c r="C38" i="8" s="1"/>
  <c r="AN7" i="4"/>
  <c r="C19" i="8" s="1"/>
  <c r="AJ6" i="4"/>
  <c r="AK6" i="4"/>
  <c r="AL6" i="4" s="1"/>
  <c r="M11" i="5"/>
  <c r="P11" i="5" s="1"/>
  <c r="Q11" i="5" s="1"/>
  <c r="R11" i="5" s="1"/>
  <c r="M7" i="5"/>
  <c r="P7" i="5" s="1"/>
  <c r="Q7" i="5" s="1"/>
  <c r="R7" i="5" s="1"/>
  <c r="M8" i="5"/>
  <c r="P8" i="5" s="1"/>
  <c r="Q8" i="5" s="1"/>
  <c r="R8" i="5" s="1"/>
  <c r="M6" i="5"/>
  <c r="P6" i="5" s="1"/>
  <c r="Q6" i="5" s="1"/>
  <c r="R6" i="5" s="1"/>
  <c r="S6" i="5" s="1"/>
  <c r="M5" i="5"/>
  <c r="P5" i="5" s="1"/>
  <c r="Q5" i="5" s="1"/>
  <c r="R5" i="5" s="1"/>
  <c r="AM6" i="4" l="1"/>
  <c r="AK18" i="4"/>
  <c r="T11" i="5"/>
  <c r="U11" i="5" s="1"/>
  <c r="V11" i="5" s="1"/>
  <c r="D39" i="8" s="1"/>
  <c r="S5" i="5"/>
  <c r="C34" i="8" s="1"/>
  <c r="S11" i="5"/>
  <c r="C39" i="8" s="1"/>
  <c r="S7" i="5"/>
  <c r="C36" i="8" s="1"/>
  <c r="S8" i="5"/>
  <c r="C37" i="8" s="1"/>
  <c r="BG6" i="4"/>
  <c r="D18" i="8" s="1"/>
  <c r="AN6" i="4"/>
  <c r="C18" i="8" s="1"/>
  <c r="B9" i="9"/>
  <c r="B10" i="9" s="1"/>
  <c r="B8" i="9"/>
  <c r="T7" i="5"/>
  <c r="U7" i="5" s="1"/>
  <c r="T8" i="5"/>
  <c r="U8" i="5" s="1"/>
  <c r="C35" i="8"/>
  <c r="T6" i="5"/>
  <c r="U6" i="5" s="1"/>
  <c r="T5" i="5"/>
  <c r="U5" i="5" s="1"/>
  <c r="C61" i="8" l="1"/>
  <c r="B4" i="9" s="1"/>
  <c r="V7" i="5"/>
  <c r="D36" i="8" s="1"/>
  <c r="V8" i="5"/>
  <c r="D37" i="8" s="1"/>
  <c r="V6" i="5"/>
  <c r="D35" i="8" s="1"/>
  <c r="V5" i="5"/>
  <c r="D34" i="8" s="1"/>
  <c r="D61" i="8" l="1"/>
  <c r="B5" i="9" s="1"/>
  <c r="B15" i="9"/>
  <c r="B16" i="9" l="1"/>
  <c r="B19"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ploro</author>
    <author>CSawka</author>
  </authors>
  <commentList>
    <comment ref="S3" authorId="0" shapeId="0" xr:uid="{00000000-0006-0000-0100-000001000000}">
      <text>
        <r>
          <rPr>
            <sz val="9"/>
            <color indexed="81"/>
            <rFont val="Tahoma"/>
            <family val="2"/>
          </rPr>
          <t>Adjusted with industry input.</t>
        </r>
      </text>
    </comment>
    <comment ref="AE3" authorId="0" shapeId="0" xr:uid="{00000000-0006-0000-0100-000002000000}">
      <text>
        <r>
          <rPr>
            <sz val="9"/>
            <color indexed="81"/>
            <rFont val="Tahoma"/>
            <family val="2"/>
          </rPr>
          <t xml:space="preserve">Bikker and Blok 2017 Phosphorus and calcium requirements of growing pigs and sows.  Contains data for nitrogen.  Average of all categories.  See spreadsheet.
</t>
        </r>
      </text>
    </comment>
    <comment ref="BB3" authorId="1" shapeId="0" xr:uid="{00000000-0006-0000-0100-000003000000}">
      <text>
        <r>
          <rPr>
            <sz val="9"/>
            <color indexed="81"/>
            <rFont val="Tahoma"/>
            <family val="2"/>
          </rPr>
          <t>See Bikker and Blok 2017</t>
        </r>
      </text>
    </comment>
    <comment ref="F5" authorId="0" shapeId="0" xr:uid="{00000000-0006-0000-0100-000004000000}">
      <text>
        <r>
          <rPr>
            <sz val="9"/>
            <color indexed="81"/>
            <rFont val="Tahoma"/>
            <family val="2"/>
          </rPr>
          <t xml:space="preserve">End weight after 2 years.  </t>
        </r>
      </text>
    </comment>
    <comment ref="H5" authorId="0" shapeId="0" xr:uid="{00000000-0006-0000-0100-000005000000}">
      <text>
        <r>
          <rPr>
            <b/>
            <sz val="9"/>
            <color indexed="81"/>
            <rFont val="Tahoma"/>
            <family val="2"/>
          </rPr>
          <t>ploro:</t>
        </r>
        <r>
          <rPr>
            <sz val="9"/>
            <color indexed="81"/>
            <rFont val="Tahoma"/>
            <family val="2"/>
          </rPr>
          <t xml:space="preserve">
Weight after first farrowing</t>
        </r>
      </text>
    </comment>
    <comment ref="I5" authorId="0" shapeId="0" xr:uid="{00000000-0006-0000-0100-000006000000}">
      <text>
        <r>
          <rPr>
            <b/>
            <sz val="9"/>
            <color indexed="81"/>
            <rFont val="Tahoma"/>
            <family val="2"/>
          </rPr>
          <t>ploro:</t>
        </r>
        <r>
          <rPr>
            <sz val="9"/>
            <color indexed="81"/>
            <rFont val="Tahoma"/>
            <family val="2"/>
          </rPr>
          <t xml:space="preserve">
weight after final farrowing, much larger than initial estimate</t>
        </r>
      </text>
    </comment>
    <comment ref="K5" authorId="1" shapeId="0" xr:uid="{00000000-0006-0000-0100-000007000000}">
      <text>
        <r>
          <rPr>
            <sz val="9"/>
            <color indexed="81"/>
            <rFont val="Tahoma"/>
            <family val="2"/>
          </rPr>
          <t xml:space="preserve">Cycle gain x number of cycles (kg gain per place).
</t>
        </r>
      </text>
    </comment>
    <comment ref="L5" authorId="1" shapeId="0" xr:uid="{00000000-0006-0000-0100-000008000000}">
      <text>
        <r>
          <rPr>
            <sz val="9"/>
            <color indexed="81"/>
            <rFont val="Tahoma"/>
            <family val="2"/>
          </rPr>
          <t xml:space="preserve">Sow reaches cull weight in 2 years.
Annual sow gain = (out-in)/2
3 cycles per year
Cycle gain = ((out-in)/2)/3
Piglets weight gain (at birth) per cycle = 13.2 piglets  x 1.4 kg per piglet
</t>
        </r>
      </text>
    </comment>
    <comment ref="M5" authorId="0" shapeId="0" xr:uid="{00000000-0006-0000-0100-000009000000}">
      <text>
        <r>
          <rPr>
            <sz val="9"/>
            <color indexed="81"/>
            <rFont val="Tahoma"/>
            <family val="2"/>
          </rPr>
          <t>7 days to next heat, then bred, plus 114 days gestating</t>
        </r>
      </text>
    </comment>
    <comment ref="N5" authorId="0" shapeId="0" xr:uid="{00000000-0006-0000-0100-00000A000000}">
      <text>
        <r>
          <rPr>
            <sz val="9"/>
            <color indexed="81"/>
            <rFont val="Tahoma"/>
            <family val="2"/>
          </rPr>
          <t xml:space="preserve">This is the number of times the stall is turned over (Stall's cycle).  The </t>
        </r>
        <r>
          <rPr>
            <u/>
            <sz val="9"/>
            <color indexed="81"/>
            <rFont val="Tahoma"/>
            <family val="2"/>
          </rPr>
          <t>sow's cycle</t>
        </r>
        <r>
          <rPr>
            <sz val="9"/>
            <color indexed="81"/>
            <rFont val="Tahoma"/>
            <family val="2"/>
          </rPr>
          <t xml:space="preserve"> is 114 + 7 + 21 = 142 days long giving 365/142 = 2.57 cycles per year.</t>
        </r>
      </text>
    </comment>
    <comment ref="Q5" authorId="0" shapeId="0" xr:uid="{00000000-0006-0000-0100-00000B000000}">
      <text>
        <r>
          <rPr>
            <sz val="9"/>
            <color indexed="81"/>
            <rFont val="Tahoma"/>
            <family val="2"/>
          </rPr>
          <t>NRC 2012</t>
        </r>
      </text>
    </comment>
    <comment ref="S5" authorId="0" shapeId="0" xr:uid="{00000000-0006-0000-0100-00000C000000}">
      <text>
        <r>
          <rPr>
            <sz val="9"/>
            <color indexed="81"/>
            <rFont val="Tahoma"/>
            <family val="2"/>
          </rPr>
          <t>Median crude protein from MB survey 14.38%</t>
        </r>
      </text>
    </comment>
    <comment ref="AI5" authorId="0" shapeId="0" xr:uid="{00000000-0006-0000-0100-00000D000000}">
      <text>
        <r>
          <rPr>
            <sz val="9"/>
            <color indexed="81"/>
            <rFont val="Tahoma"/>
            <family val="2"/>
          </rPr>
          <t>Weight gain of piglets.</t>
        </r>
      </text>
    </comment>
    <comment ref="AR5" authorId="0" shapeId="0" xr:uid="{00000000-0006-0000-0100-00000E000000}">
      <text>
        <r>
          <rPr>
            <sz val="9"/>
            <color indexed="81"/>
            <rFont val="Tahoma"/>
            <family val="2"/>
          </rPr>
          <t xml:space="preserve">midpoint of industry
</t>
        </r>
      </text>
    </comment>
    <comment ref="BB5" authorId="0" shapeId="0" xr:uid="{00000000-0006-0000-0100-00000F000000}">
      <text>
        <r>
          <rPr>
            <b/>
            <sz val="9"/>
            <color indexed="81"/>
            <rFont val="Tahoma"/>
            <family val="2"/>
          </rPr>
          <t>ploro:</t>
        </r>
        <r>
          <rPr>
            <sz val="9"/>
            <color indexed="81"/>
            <rFont val="Tahoma"/>
            <family val="2"/>
          </rPr>
          <t xml:space="preserve">
retention for the sow gain is 5.4 g/kg
retention for the piglets is 6.0 g/kg</t>
        </r>
      </text>
    </comment>
    <comment ref="F6" authorId="1" shapeId="0" xr:uid="{00000000-0006-0000-0100-000010000000}">
      <text>
        <r>
          <rPr>
            <sz val="9"/>
            <color indexed="81"/>
            <rFont val="Tahoma"/>
            <family val="2"/>
          </rPr>
          <t>Average weight of gestating sows.  Assumes any weight loss during nursing is gained back.</t>
        </r>
      </text>
    </comment>
    <comment ref="L6" authorId="0" shapeId="0" xr:uid="{00000000-0006-0000-0100-000011000000}">
      <text>
        <r>
          <rPr>
            <sz val="9"/>
            <color indexed="81"/>
            <rFont val="Tahoma"/>
            <family val="2"/>
          </rPr>
          <t>No net weight gain or loss in the 21 day nursing cycle.</t>
        </r>
      </text>
    </comment>
    <comment ref="N6" authorId="0" shapeId="0" xr:uid="{00000000-0006-0000-0100-000012000000}">
      <text>
        <r>
          <rPr>
            <sz val="9"/>
            <color indexed="81"/>
            <rFont val="Tahoma"/>
            <family val="2"/>
          </rPr>
          <t>Place is cycled every 24 days (21 nursing plus 3 days down).  365/24 = 15.2 cycles.</t>
        </r>
      </text>
    </comment>
    <comment ref="Q6" authorId="0" shapeId="0" xr:uid="{00000000-0006-0000-0100-000013000000}">
      <text>
        <r>
          <rPr>
            <sz val="9"/>
            <color indexed="81"/>
            <rFont val="Tahoma"/>
            <family val="2"/>
          </rPr>
          <t>NRC 2012 and Gilt and Sow Management 2013</t>
        </r>
      </text>
    </comment>
    <comment ref="S6" authorId="0" shapeId="0" xr:uid="{00000000-0006-0000-0100-000014000000}">
      <text>
        <r>
          <rPr>
            <sz val="9"/>
            <color indexed="81"/>
            <rFont val="Tahoma"/>
            <family val="2"/>
          </rPr>
          <t>Median crude protein from MB Survey 18.5%</t>
        </r>
      </text>
    </comment>
    <comment ref="AI6" authorId="0" shapeId="0" xr:uid="{00000000-0006-0000-0100-000015000000}">
      <text>
        <r>
          <rPr>
            <sz val="9"/>
            <color indexed="81"/>
            <rFont val="Tahoma"/>
            <family val="2"/>
          </rPr>
          <t>N removed in milk.</t>
        </r>
      </text>
    </comment>
    <comment ref="AR6" authorId="0" shapeId="0" xr:uid="{00000000-0006-0000-0100-000016000000}">
      <text>
        <r>
          <rPr>
            <sz val="9"/>
            <color indexed="81"/>
            <rFont val="Tahoma"/>
            <family val="2"/>
          </rPr>
          <t>midpoint of industry</t>
        </r>
      </text>
    </comment>
    <comment ref="BB6" authorId="0" shapeId="0" xr:uid="{00000000-0006-0000-0100-000017000000}">
      <text>
        <r>
          <rPr>
            <b/>
            <sz val="9"/>
            <color indexed="81"/>
            <rFont val="Tahoma"/>
            <family val="2"/>
          </rPr>
          <t>ploro:</t>
        </r>
        <r>
          <rPr>
            <sz val="9"/>
            <color indexed="81"/>
            <rFont val="Tahoma"/>
            <family val="2"/>
          </rPr>
          <t xml:space="preserve">
pg 37 Bikker and Blok 2017 for all sows</t>
        </r>
      </text>
    </comment>
    <comment ref="L7" authorId="0" shapeId="0" xr:uid="{00000000-0006-0000-0100-000018000000}">
      <text>
        <r>
          <rPr>
            <b/>
            <sz val="9"/>
            <color indexed="81"/>
            <rFont val="Tahoma"/>
            <family val="2"/>
          </rPr>
          <t>ploro:</t>
        </r>
        <r>
          <rPr>
            <sz val="9"/>
            <color indexed="81"/>
            <rFont val="Tahoma"/>
            <family val="2"/>
          </rPr>
          <t xml:space="preserve">
230 g/day x 21 days /1000 g/kg x 13.2 piglets per place</t>
        </r>
      </text>
    </comment>
    <comment ref="N7" authorId="1" shapeId="0" xr:uid="{00000000-0006-0000-0100-000019000000}">
      <text>
        <r>
          <rPr>
            <sz val="9"/>
            <color indexed="81"/>
            <rFont val="Tahoma"/>
            <family val="2"/>
          </rPr>
          <t>24 days per cycle with 3 days empty farrowing crate</t>
        </r>
      </text>
    </comment>
    <comment ref="W7" authorId="0" shapeId="0" xr:uid="{00000000-0006-0000-0100-00001A000000}">
      <text>
        <r>
          <rPr>
            <sz val="9"/>
            <color indexed="81"/>
            <rFont val="Tahoma"/>
            <family val="2"/>
          </rPr>
          <t>718 g per day (Noblet and Etienne, 1989.  J. Ani. Sci.).  Increased for more rapid weight gain (228 g/piglet/day) versus 195 g/piglet per day in the paper.</t>
        </r>
      </text>
    </comment>
    <comment ref="Y7" authorId="0" shapeId="0" xr:uid="{00000000-0006-0000-0100-00001B000000}">
      <text>
        <r>
          <rPr>
            <sz val="9"/>
            <color indexed="81"/>
            <rFont val="Tahoma"/>
            <family val="2"/>
          </rPr>
          <t xml:space="preserve">Csapo et al. 1996.  Int. Dairy J.  </t>
        </r>
      </text>
    </comment>
    <comment ref="AL7" authorId="1" shapeId="0" xr:uid="{00000000-0006-0000-0100-00001C000000}">
      <text>
        <r>
          <rPr>
            <sz val="9"/>
            <color indexed="81"/>
            <rFont val="Tahoma"/>
            <family val="2"/>
          </rPr>
          <t xml:space="preserve">Per litter
</t>
        </r>
      </text>
    </comment>
    <comment ref="AM7" authorId="1" shapeId="0" xr:uid="{00000000-0006-0000-0100-00001D000000}">
      <text>
        <r>
          <rPr>
            <sz val="9"/>
            <color indexed="81"/>
            <rFont val="Tahoma"/>
            <family val="2"/>
          </rPr>
          <t>13.2 pigs per litter</t>
        </r>
      </text>
    </comment>
    <comment ref="AS7" authorId="1" shapeId="0" xr:uid="{00000000-0006-0000-0100-00001E000000}">
      <text>
        <r>
          <rPr>
            <sz val="9"/>
            <color indexed="81"/>
            <rFont val="Tahoma"/>
            <family val="2"/>
          </rPr>
          <t>assuming no creep feed</t>
        </r>
      </text>
    </comment>
    <comment ref="AW7" authorId="0" shapeId="0" xr:uid="{00000000-0006-0000-0100-00001F000000}">
      <text>
        <r>
          <rPr>
            <sz val="9"/>
            <color indexed="81"/>
            <rFont val="Tahoma"/>
            <family val="2"/>
          </rPr>
          <t xml:space="preserve">Annex 16 Bikker and Blok 2017
</t>
        </r>
      </text>
    </comment>
    <comment ref="BB7" authorId="0" shapeId="0" xr:uid="{00000000-0006-0000-0100-000020000000}">
      <text>
        <r>
          <rPr>
            <b/>
            <sz val="9"/>
            <color indexed="81"/>
            <rFont val="Tahoma"/>
            <family val="2"/>
          </rPr>
          <t>ploro:</t>
        </r>
        <r>
          <rPr>
            <sz val="9"/>
            <color indexed="81"/>
            <rFont val="Tahoma"/>
            <family val="2"/>
          </rPr>
          <t xml:space="preserve">
pg 33 and annex 10</t>
        </r>
      </text>
    </comment>
    <comment ref="A8" authorId="1" shapeId="0" xr:uid="{00000000-0006-0000-0100-000021000000}">
      <text>
        <r>
          <rPr>
            <sz val="9"/>
            <color indexed="81"/>
            <rFont val="Tahoma"/>
            <family val="2"/>
          </rPr>
          <t>Cull Sow places = sows x 0.5 replacement/52 weeks x 2 weeks in room</t>
        </r>
      </text>
    </comment>
    <comment ref="M8" authorId="0" shapeId="0" xr:uid="{00000000-0006-0000-0100-000022000000}">
      <text>
        <r>
          <rPr>
            <sz val="9"/>
            <color indexed="81"/>
            <rFont val="Tahoma"/>
            <family val="2"/>
          </rPr>
          <t>The sow is pulled out of the herd and kept 14 days before being shipped (7 days to dry off and 7 waiting).</t>
        </r>
      </text>
    </comment>
    <comment ref="AR8" authorId="0" shapeId="0" xr:uid="{00000000-0006-0000-0100-000023000000}">
      <text>
        <r>
          <rPr>
            <sz val="9"/>
            <color indexed="81"/>
            <rFont val="Tahoma"/>
            <family val="2"/>
          </rPr>
          <t>Same as GF
 o.46%</t>
        </r>
      </text>
    </comment>
    <comment ref="A9" authorId="1" shapeId="0" xr:uid="{00000000-0006-0000-0100-000024000000}">
      <text>
        <r>
          <rPr>
            <sz val="9"/>
            <color indexed="81"/>
            <rFont val="Tahoma"/>
            <family val="2"/>
          </rPr>
          <t>Bred Gilt places = sows x 0.5 replacement/52 weeks x 17 weeks in room</t>
        </r>
      </text>
    </comment>
    <comment ref="F9" authorId="0" shapeId="0" xr:uid="{00000000-0006-0000-0100-000025000000}">
      <text>
        <r>
          <rPr>
            <sz val="9"/>
            <color indexed="81"/>
            <rFont val="Tahoma"/>
            <family val="2"/>
          </rPr>
          <t>Weight of sow at end of first breeding cycle.</t>
        </r>
      </text>
    </comment>
    <comment ref="L9" authorId="0" shapeId="0" xr:uid="{00000000-0006-0000-0100-000026000000}">
      <text>
        <r>
          <rPr>
            <sz val="9"/>
            <color indexed="81"/>
            <rFont val="Tahoma"/>
            <family val="2"/>
          </rPr>
          <t xml:space="preserve">weight in = 154
sow weight gain = 405 g/day /1000 g/kg * 121 days = 49 kg
plus weight of the litter (1.4 x 13.2) = 18.5
weight gain = 49 + 18.5 = 67.3
</t>
        </r>
      </text>
    </comment>
    <comment ref="O9" authorId="0" shapeId="0" xr:uid="{00000000-0006-0000-0100-000027000000}">
      <text>
        <r>
          <rPr>
            <b/>
            <sz val="9"/>
            <color indexed="81"/>
            <rFont val="Tahoma"/>
            <family val="2"/>
          </rPr>
          <t>ploro:</t>
        </r>
        <r>
          <rPr>
            <sz val="9"/>
            <color indexed="81"/>
            <rFont val="Tahoma"/>
            <family val="2"/>
          </rPr>
          <t xml:space="preserve">
Half of the purchased gilt rate of gain.</t>
        </r>
      </text>
    </comment>
    <comment ref="Q9" authorId="0" shapeId="0" xr:uid="{00000000-0006-0000-0100-000028000000}">
      <text>
        <r>
          <rPr>
            <sz val="9"/>
            <color indexed="81"/>
            <rFont val="Tahoma"/>
            <family val="2"/>
          </rPr>
          <t>PIC</t>
        </r>
      </text>
    </comment>
    <comment ref="AR9" authorId="1" shapeId="0" xr:uid="{00000000-0006-0000-0100-000029000000}">
      <text>
        <r>
          <rPr>
            <sz val="9"/>
            <color indexed="81"/>
            <rFont val="Tahoma"/>
            <family val="2"/>
          </rPr>
          <t>Same as Gestating Sow</t>
        </r>
      </text>
    </comment>
    <comment ref="A10" authorId="1" shapeId="0" xr:uid="{00000000-0006-0000-0100-00002A000000}">
      <text>
        <r>
          <rPr>
            <sz val="9"/>
            <color indexed="81"/>
            <rFont val="Tahoma"/>
            <family val="2"/>
          </rPr>
          <t>Enter the number of gilt places required for the Sow, farrow to 6.2 kg and Sow, farrow to 28 kg operations.  
Sow, farrow to finish operations assume 4 gilt places per 100 sows (based on a 50% replacement rate) entering at 280 kg from the grower/finisher population.  If additional places will be required, add the difference in this category.</t>
        </r>
      </text>
    </comment>
    <comment ref="E10" authorId="0" shapeId="0" xr:uid="{00000000-0006-0000-0100-00002B000000}">
      <text>
        <r>
          <rPr>
            <sz val="9"/>
            <color indexed="81"/>
            <rFont val="Tahoma"/>
            <family val="2"/>
          </rPr>
          <t>end weight of g-f</t>
        </r>
      </text>
    </comment>
    <comment ref="L10" authorId="1" shapeId="0" xr:uid="{00000000-0006-0000-0100-00002C000000}">
      <text>
        <r>
          <rPr>
            <sz val="9"/>
            <color indexed="81"/>
            <rFont val="Tahoma"/>
            <family val="2"/>
          </rPr>
          <t>23 kg gain over 4 weeks until bred</t>
        </r>
      </text>
    </comment>
    <comment ref="Q10" authorId="0" shapeId="0" xr:uid="{00000000-0006-0000-0100-00002D000000}">
      <text>
        <r>
          <rPr>
            <sz val="9"/>
            <color indexed="81"/>
            <rFont val="Tahoma"/>
            <family val="2"/>
          </rPr>
          <t>Average of NRC and PIC:
NRC 2012:  [(2.6+2.9)/2 + (2.5+2.8)/2]/2 = 2.7 
PIC Gilt and Sow Management 2013: 1.8 kg twice daily (3.6 kg per day)</t>
        </r>
      </text>
    </comment>
    <comment ref="AR10" authorId="0" shapeId="0" xr:uid="{00000000-0006-0000-0100-00002E000000}">
      <text>
        <r>
          <rPr>
            <sz val="9"/>
            <color indexed="81"/>
            <rFont val="Tahoma"/>
            <family val="2"/>
          </rPr>
          <t>Same as GF</t>
        </r>
      </text>
    </comment>
    <comment ref="L11" authorId="1" shapeId="0" xr:uid="{00000000-0006-0000-0100-00002F000000}">
      <text>
        <r>
          <rPr>
            <sz val="9"/>
            <color indexed="81"/>
            <rFont val="Tahoma"/>
            <family val="2"/>
          </rPr>
          <t>Total gain (122 kg to 299 kg) over 3 years</t>
        </r>
      </text>
    </comment>
    <comment ref="Q11" authorId="0" shapeId="0" xr:uid="{00000000-0006-0000-0100-000030000000}">
      <text>
        <r>
          <rPr>
            <sz val="9"/>
            <color indexed="81"/>
            <rFont val="Tahoma"/>
            <family val="2"/>
          </rPr>
          <t>NRC 2012</t>
        </r>
      </text>
    </comment>
    <comment ref="AR11" authorId="0" shapeId="0" xr:uid="{00000000-0006-0000-0100-000031000000}">
      <text>
        <r>
          <rPr>
            <sz val="9"/>
            <color indexed="81"/>
            <rFont val="Tahoma"/>
            <family val="2"/>
          </rPr>
          <t>Same as GF</t>
        </r>
      </text>
    </comment>
    <comment ref="M13" authorId="0" shapeId="0" xr:uid="{00000000-0006-0000-0100-000032000000}">
      <text>
        <r>
          <rPr>
            <sz val="9"/>
            <color indexed="81"/>
            <rFont val="Tahoma"/>
            <family val="2"/>
          </rPr>
          <t>Industry 49-52 days on feed.</t>
        </r>
      </text>
    </comment>
    <comment ref="N13" authorId="0" shapeId="0" xr:uid="{00000000-0006-0000-0100-000033000000}">
      <text>
        <r>
          <rPr>
            <sz val="9"/>
            <color indexed="81"/>
            <rFont val="Tahoma"/>
            <family val="2"/>
          </rPr>
          <t>average 50 days on feed + 2 days empty/cycle = 7.5 weeks
per cycle
52 weeks /7.5=6.9 cycles per year</t>
        </r>
      </text>
    </comment>
    <comment ref="R13" authorId="0" shapeId="0" xr:uid="{00000000-0006-0000-0100-000034000000}">
      <text>
        <r>
          <rPr>
            <sz val="9"/>
            <color indexed="81"/>
            <rFont val="Tahoma"/>
            <family val="2"/>
          </rPr>
          <t xml:space="preserve">NRC:
Average of feed intake across all classes of weanlings pg 210.
PIC Nutrient Specifications Manual 2011 pg 18.  Feed intake for days on feed.
</t>
        </r>
      </text>
    </comment>
    <comment ref="S13" authorId="0" shapeId="0" xr:uid="{00000000-0006-0000-0100-000035000000}">
      <text>
        <r>
          <rPr>
            <sz val="9"/>
            <color indexed="81"/>
            <rFont val="Tahoma"/>
            <family val="2"/>
          </rPr>
          <t>Median crude protein from MB Survey 20%</t>
        </r>
      </text>
    </comment>
    <comment ref="AR13" authorId="0" shapeId="0" xr:uid="{00000000-0006-0000-0100-000036000000}">
      <text>
        <r>
          <rPr>
            <sz val="9"/>
            <color indexed="81"/>
            <rFont val="Tahoma"/>
            <family val="2"/>
          </rPr>
          <t>midpoint of industry</t>
        </r>
      </text>
    </comment>
    <comment ref="F14" authorId="0" shapeId="0" xr:uid="{00000000-0006-0000-0100-000037000000}">
      <text>
        <r>
          <rPr>
            <sz val="9"/>
            <color indexed="81"/>
            <rFont val="Tahoma"/>
            <family val="2"/>
          </rPr>
          <t>Industry target weights.</t>
        </r>
      </text>
    </comment>
    <comment ref="M14" authorId="0" shapeId="0" xr:uid="{00000000-0006-0000-0100-000038000000}">
      <text>
        <r>
          <rPr>
            <sz val="9"/>
            <color indexed="81"/>
            <rFont val="Tahoma"/>
            <family val="2"/>
          </rPr>
          <t>Cycle includes days on feed.</t>
        </r>
      </text>
    </comment>
    <comment ref="N14" authorId="0" shapeId="0" xr:uid="{00000000-0006-0000-0100-000039000000}">
      <text>
        <r>
          <rPr>
            <sz val="9"/>
            <color indexed="81"/>
            <rFont val="Tahoma"/>
            <family val="2"/>
          </rPr>
          <t>Inlcudes 112 days on feed and 4 days downtime for a cycle length of 116 (365/116=3.14)</t>
        </r>
      </text>
    </comment>
    <comment ref="R14" authorId="0" shapeId="0" xr:uid="{00000000-0006-0000-0100-00003A000000}">
      <text>
        <r>
          <rPr>
            <b/>
            <sz val="9"/>
            <color indexed="81"/>
            <rFont val="Tahoma"/>
            <family val="2"/>
          </rPr>
          <t>ploro:</t>
        </r>
        <r>
          <rPr>
            <sz val="9"/>
            <color indexed="81"/>
            <rFont val="Tahoma"/>
            <family val="2"/>
          </rPr>
          <t xml:space="preserve">
mid-point between HyLife and Maple Leaf</t>
        </r>
      </text>
    </comment>
    <comment ref="S14" authorId="0" shapeId="0" xr:uid="{00000000-0006-0000-0100-00003B000000}">
      <text>
        <r>
          <rPr>
            <sz val="9"/>
            <color indexed="81"/>
            <rFont val="Tahoma"/>
            <family val="2"/>
          </rPr>
          <t>Median crude protein from MB Survey 16.25%</t>
        </r>
      </text>
    </comment>
    <comment ref="AR14" authorId="0" shapeId="0" xr:uid="{00000000-0006-0000-0100-00003C000000}">
      <text>
        <r>
          <rPr>
            <sz val="9"/>
            <color indexed="81"/>
            <rFont val="Tahoma"/>
            <family val="2"/>
          </rPr>
          <t xml:space="preserve">Survey Median 4 Diets 0.46% </t>
        </r>
      </text>
    </comment>
    <comment ref="BB14" authorId="0" shapeId="0" xr:uid="{00000000-0006-0000-0100-00003D000000}">
      <text>
        <r>
          <rPr>
            <b/>
            <sz val="9"/>
            <color indexed="81"/>
            <rFont val="Tahoma"/>
            <family val="2"/>
          </rPr>
          <t>ploro:</t>
        </r>
        <r>
          <rPr>
            <sz val="9"/>
            <color indexed="81"/>
            <rFont val="Tahoma"/>
            <family val="2"/>
          </rPr>
          <t xml:space="preserve">
Bikker and Blok 2017 annex 2 bottom table
pg 19 says 5.32 for all growing categories</t>
        </r>
      </text>
    </comment>
    <comment ref="A16" authorId="1" shapeId="0" xr:uid="{00000000-0006-0000-0100-00003E000000}">
      <text>
        <r>
          <rPr>
            <sz val="9"/>
            <color indexed="81"/>
            <rFont val="Tahoma"/>
            <family val="2"/>
          </rPr>
          <t>Pig places for every 100 sow (gestating and nursing) places: 
84 gestating sow places
16 nursing sow places
2 cull sow places 
16 replacement bred gilt places (50% replacement rate)
4 replacement gilt places (before breeding)
4 boar places
Cull places = sows x 0.5 cull rate/52 weeks x 2 weeks in room
Replacement bred gilt places = sows x 0.5 culled/52 weeks x 17 weeks in room
Replacement light gilt places = sows x 0.5 culled/52 weeks x 4 weeks in room
weanling rate = 13.2 piglets/litter x 2.375 litters/year or 31.35 weanlings per sow 
weanling survival to nursery phase = 89% (or about 28 piglets per sow per year)</t>
        </r>
      </text>
    </comment>
    <comment ref="A17" authorId="1" shapeId="0" xr:uid="{00000000-0006-0000-0100-00003F000000}">
      <text>
        <r>
          <rPr>
            <sz val="9"/>
            <color indexed="81"/>
            <rFont val="Tahoma"/>
            <family val="2"/>
          </rPr>
          <t>Pig places for every 100 sow (gestating and nursing) places: 
84 gestating sow places
16 nursing sow places
2 cull sow places 
16 replacement bred gilt places (50% replacement rate)
4 replacement gilt places (before breeding)
4 boar places
402 weanling/nursery places
Cull places = sows x 0.5 cull rate/52 weeks x 2 weeks in room
Replacement bred gilt places = sows x 0.5 culled/52 weeks x 17 weeks in room
Replacement light gilt places = sows x 0.5 culled/52 weeks x 4 weeks in room
weanling places = sows x (13.2 weanlings/litter x 2.375 litters/year x 0.89 survival rate)/52 wks per year x 7.5 weeks in room
=4.02 weanling/nursery places per sow</t>
        </r>
      </text>
    </comment>
    <comment ref="A18" authorId="1" shapeId="0" xr:uid="{00000000-0006-0000-0100-000040000000}">
      <text>
        <r>
          <rPr>
            <sz val="9"/>
            <color indexed="81"/>
            <rFont val="Tahoma"/>
            <family val="2"/>
          </rPr>
          <t>Pig places for every 100 sow (gestating and nursing) places: 
84 gestating sow places
16 nursing sow places
2 cull sow places 
16 replacement bred gilt places (50% replacement rate)
4 replacement gilt places (before breeding)
4 boar places
402 weanling/nursery places
861 grower finisher places
Cull places = sows x 0.5 cull rate/52 weeks x 2 weeks in room
Replacement bred gilt places = sows x 0.5 culled/52 weeks x 17 weeks in room
Replacement light gilt places = sows x 0.5 culled/52 weeks x 4 weeks in room
weanling places = sows x (13.2 weanlings/litter x 2.375 litters/year x 0.89 survival rate)/52 wks per year x 7.5 weeks in room
=4.02 weanling/nursery places per sow
g-f places =  sows x [(13.2 weanlings/litter x 2.375 litters/year x 0.89 survival rate to nursery)*0.972 survival rate to g-f]/52 wks per year x 16.5 weeks in room (i.e. cycle length 112-116 days)
=8.61 g-f places per sow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ploro</author>
    <author>CSawka</author>
    <author>getahun</author>
  </authors>
  <commentList>
    <comment ref="AC3" authorId="0" shapeId="0" xr:uid="{00000000-0006-0000-0200-000001000000}">
      <text>
        <r>
          <rPr>
            <sz val="9"/>
            <color indexed="81"/>
            <rFont val="Tahoma"/>
            <family val="2"/>
          </rPr>
          <t>From Environmental Impacts of Beef Cattle, Tamminga 2006
Trudelle 2008 Dairy Calculator = 0.025 % or 25 g/kg</t>
        </r>
      </text>
    </comment>
    <comment ref="AO3" authorId="1" shapeId="0" xr:uid="{00000000-0006-0000-0200-000002000000}">
      <text>
        <r>
          <rPr>
            <sz val="9"/>
            <color indexed="81"/>
            <rFont val="Tahoma"/>
            <family val="2"/>
          </rPr>
          <t xml:space="preserve">provided by J. Kopp </t>
        </r>
      </text>
    </comment>
    <comment ref="AV3" authorId="0" shapeId="0" xr:uid="{00000000-0006-0000-0200-000003000000}">
      <text>
        <r>
          <rPr>
            <sz val="9"/>
            <color indexed="81"/>
            <rFont val="Tahoma"/>
            <family val="2"/>
          </rPr>
          <t>Trudelle 0.007% or 7 g/kg
Gibson et al. 2007, Soil Phosphorus Removal by Stocker Cattle Grazing Winter Wheat (7.1 g/kg)
Lynch and Caffrey,  Phosphorus Requirements for Animal Production (7-9 g P/kg)
Tamminga 2006, Environmental Impacts of Beef Cattle (7.4-8.0 g/kg)</t>
        </r>
      </text>
    </comment>
    <comment ref="M4" authorId="1" shapeId="0" xr:uid="{00000000-0006-0000-0200-000004000000}">
      <text>
        <r>
          <rPr>
            <sz val="9"/>
            <color indexed="81"/>
            <rFont val="Tahoma"/>
            <family val="2"/>
          </rPr>
          <t xml:space="preserve">% of total body weight with wastage
Industry Standard provided by Kopp
</t>
        </r>
      </text>
    </comment>
    <comment ref="F5" authorId="0" shapeId="0" xr:uid="{00000000-0006-0000-0200-000005000000}">
      <text>
        <r>
          <rPr>
            <sz val="9"/>
            <color indexed="81"/>
            <rFont val="Tahoma"/>
            <family val="2"/>
          </rPr>
          <t xml:space="preserve">Mature weight assumes no weight gain for the mature cows &gt; 3 years old.  Weight gain of bred heifers introduced into this category at 2 years old is 137 lb (1238 to 1375 lb) in the first year.  This is accounted for in the weight gain/retention.   </t>
        </r>
      </text>
    </comment>
    <comment ref="L5" authorId="1" shapeId="0" xr:uid="{00000000-0006-0000-0200-000006000000}">
      <text>
        <r>
          <rPr>
            <sz val="9"/>
            <color indexed="81"/>
            <rFont val="Tahoma"/>
            <family val="2"/>
          </rPr>
          <t>39 kg gain for the calf plus weight gain for bred heifers entering this category (15 of the 85 mature cows are 2 year olds).  The 15 bred heifers that enter this category do so at 1238 and gain to 1375 lb in the first year.</t>
        </r>
      </text>
    </comment>
    <comment ref="R5" authorId="0" shapeId="0" xr:uid="{00000000-0006-0000-0200-000007000000}">
      <text>
        <r>
          <rPr>
            <sz val="9"/>
            <color indexed="81"/>
            <rFont val="Tahoma"/>
            <family val="2"/>
          </rPr>
          <t>No gain for mature cows &gt;3yo</t>
        </r>
      </text>
    </comment>
    <comment ref="T5" authorId="1" shapeId="0" xr:uid="{00000000-0006-0000-0200-000008000000}">
      <text>
        <r>
          <rPr>
            <sz val="9"/>
            <color indexed="81"/>
            <rFont val="Tahoma"/>
            <family val="2"/>
          </rPr>
          <t>req 8% for dry cow, but with alfalfa/grass can be higher protein than requirement</t>
        </r>
      </text>
    </comment>
    <comment ref="AX5" authorId="0" shapeId="0" xr:uid="{00000000-0006-0000-0200-000009000000}">
      <text>
        <r>
          <rPr>
            <sz val="9"/>
            <color indexed="81"/>
            <rFont val="Tahoma"/>
            <family val="2"/>
          </rPr>
          <t>Cow milk production = calf milk consumption</t>
        </r>
      </text>
    </comment>
    <comment ref="F6" authorId="0" shapeId="0" xr:uid="{00000000-0006-0000-0200-00000A000000}">
      <text>
        <r>
          <rPr>
            <sz val="9"/>
            <color indexed="81"/>
            <rFont val="Tahoma"/>
            <family val="2"/>
          </rPr>
          <t>Bred at 67.5% of final mature cow weight.  Continues to gain in this category until approximately 2 years old.</t>
        </r>
      </text>
    </comment>
    <comment ref="G6" authorId="2" shapeId="0" xr:uid="{00000000-0006-0000-0200-00000B000000}">
      <text>
        <r>
          <rPr>
            <sz val="9"/>
            <color indexed="81"/>
            <rFont val="Tahoma"/>
            <family val="2"/>
          </rPr>
          <t>90% of mature weight and approximately 2 years old</t>
        </r>
      </text>
    </comment>
    <comment ref="L6" authorId="0" shapeId="0" xr:uid="{00000000-0006-0000-0200-00000C000000}">
      <text>
        <r>
          <rPr>
            <sz val="9"/>
            <color indexed="81"/>
            <rFont val="Tahoma"/>
            <family val="2"/>
          </rPr>
          <t>Weight gain for bred heifer occurs just under 9 months that they remain in this category plus weight of calf.</t>
        </r>
      </text>
    </comment>
    <comment ref="P6" authorId="0" shapeId="0" xr:uid="{00000000-0006-0000-0200-00000D000000}">
      <text>
        <r>
          <rPr>
            <sz val="9"/>
            <color indexed="81"/>
            <rFont val="Tahoma"/>
            <family val="2"/>
          </rPr>
          <t>Gestation for 9+ months.</t>
        </r>
      </text>
    </comment>
    <comment ref="AO6" authorId="0" shapeId="0" xr:uid="{00000000-0006-0000-0200-00000E000000}">
      <text>
        <r>
          <rPr>
            <sz val="9"/>
            <color indexed="81"/>
            <rFont val="Tahoma"/>
            <family val="2"/>
          </rPr>
          <t>same as mature cows</t>
        </r>
      </text>
    </comment>
    <comment ref="B7" authorId="0" shapeId="0" xr:uid="{00000000-0006-0000-0200-00000F000000}">
      <text>
        <r>
          <rPr>
            <sz val="9"/>
            <color indexed="81"/>
            <rFont val="Tahoma"/>
            <family val="2"/>
          </rPr>
          <t>If you keep replacement bulls, include them in the appropriate feeder category.</t>
        </r>
      </text>
    </comment>
    <comment ref="G7" authorId="0" shapeId="0" xr:uid="{00000000-0006-0000-0200-000010000000}">
      <text>
        <r>
          <rPr>
            <sz val="9"/>
            <color indexed="81"/>
            <rFont val="Tahoma"/>
            <family val="2"/>
          </rPr>
          <t>Bred at 67.5% of final mature cow weight.  Continues to gain as a bred heifer.</t>
        </r>
      </text>
    </comment>
    <comment ref="P7" authorId="0" shapeId="0" xr:uid="{00000000-0006-0000-0200-000011000000}">
      <text>
        <r>
          <rPr>
            <sz val="9"/>
            <color indexed="81"/>
            <rFont val="Tahoma"/>
            <family val="2"/>
          </rPr>
          <t>Bred at 14.5 months.</t>
        </r>
      </text>
    </comment>
    <comment ref="T7" authorId="1" shapeId="0" xr:uid="{00000000-0006-0000-0200-000012000000}">
      <text>
        <r>
          <rPr>
            <sz val="9"/>
            <color indexed="81"/>
            <rFont val="Tahoma"/>
            <family val="2"/>
          </rPr>
          <t xml:space="preserve">req around 11% for bred heifer, because still growing
</t>
        </r>
      </text>
    </comment>
    <comment ref="M8" authorId="0" shapeId="0" xr:uid="{00000000-0006-0000-0200-000013000000}">
      <text>
        <r>
          <rPr>
            <sz val="9"/>
            <color indexed="81"/>
            <rFont val="Tahoma"/>
            <family val="2"/>
          </rPr>
          <t>100 % of the intake from milk in first 3 months.  20% of the intake from milk and 80% from feed from months 4 to 7.</t>
        </r>
      </text>
    </comment>
    <comment ref="O8" authorId="0" shapeId="0" xr:uid="{00000000-0006-0000-0200-000014000000}">
      <text>
        <r>
          <rPr>
            <sz val="9"/>
            <color indexed="81"/>
            <rFont val="Tahoma"/>
            <family val="2"/>
          </rPr>
          <t>Weaned at 7 months.</t>
        </r>
      </text>
    </comment>
    <comment ref="T8" authorId="1" shapeId="0" xr:uid="{00000000-0006-0000-0200-000015000000}">
      <text>
        <r>
          <rPr>
            <sz val="9"/>
            <color indexed="81"/>
            <rFont val="Tahoma"/>
            <family val="2"/>
          </rPr>
          <t>req around 11% for calf, because still growing</t>
        </r>
      </text>
    </comment>
    <comment ref="X8" authorId="0" shapeId="0" xr:uid="{00000000-0006-0000-0200-000016000000}">
      <text>
        <r>
          <rPr>
            <sz val="9"/>
            <color indexed="81"/>
            <rFont val="Tahoma"/>
            <family val="2"/>
          </rPr>
          <t>Manitoba Study:
5.8 kg/day from Kopp et al.</t>
        </r>
      </text>
    </comment>
    <comment ref="Y8" authorId="0" shapeId="0" xr:uid="{00000000-0006-0000-0200-000017000000}">
      <text>
        <r>
          <rPr>
            <sz val="9"/>
            <color indexed="81"/>
            <rFont val="Tahoma"/>
            <family val="2"/>
          </rPr>
          <t>Roughly 3.8 % protein, Kopp et al.</t>
        </r>
      </text>
    </comment>
    <comment ref="Z8" authorId="0" shapeId="0" xr:uid="{00000000-0006-0000-0200-000018000000}">
      <text>
        <r>
          <rPr>
            <sz val="9"/>
            <color indexed="81"/>
            <rFont val="Tahoma"/>
            <family val="2"/>
          </rPr>
          <t>Weaned at 7 months (210 days).</t>
        </r>
      </text>
    </comment>
    <comment ref="AR8" authorId="0" shapeId="0" xr:uid="{00000000-0006-0000-0200-000019000000}">
      <text>
        <r>
          <rPr>
            <sz val="9"/>
            <color indexed="81"/>
            <rFont val="Tahoma"/>
            <family val="2"/>
          </rPr>
          <t>Manitoba Study:
5.8 kg/day from Kopp et al.</t>
        </r>
      </text>
    </comment>
    <comment ref="AS8" authorId="0" shapeId="0" xr:uid="{00000000-0006-0000-0200-00001A000000}">
      <text>
        <r>
          <rPr>
            <sz val="9"/>
            <color indexed="81"/>
            <rFont val="Tahoma"/>
            <family val="2"/>
          </rPr>
          <t>0.18 at day 1 lactation and 0.09 % P at 5 months lactation.  1.2 is the mid-point if you draw a straight line from day 1 to day 210.</t>
        </r>
      </text>
    </comment>
    <comment ref="L9" authorId="1" shapeId="0" xr:uid="{00000000-0006-0000-0200-00001B000000}">
      <text>
        <r>
          <rPr>
            <sz val="9"/>
            <color indexed="81"/>
            <rFont val="Tahoma"/>
            <family val="2"/>
          </rPr>
          <t>annual not life span - estimated to gain about 180 - 200 kg over 4 years</t>
        </r>
      </text>
    </comment>
    <comment ref="T9" authorId="1" shapeId="0" xr:uid="{00000000-0006-0000-0200-00001C000000}">
      <text>
        <r>
          <rPr>
            <sz val="9"/>
            <color indexed="81"/>
            <rFont val="Tahoma"/>
            <family val="2"/>
          </rPr>
          <t>req around 8%, but may be higher if alfalfa/grass hay</t>
        </r>
      </text>
    </comment>
    <comment ref="B10" authorId="0" shapeId="0" xr:uid="{00000000-0006-0000-0200-00001D000000}">
      <text>
        <r>
          <rPr>
            <sz val="9"/>
            <color indexed="81"/>
            <rFont val="Tahoma"/>
            <family val="2"/>
          </rPr>
          <t xml:space="preserve">Based on 100 cows (85 mature plus 15 bred heifers), 15 replacement heifers, 90 calves and 4 bulls.  If you keep replacement bulls, include them in the appropriate feeder category.  </t>
        </r>
      </text>
    </comment>
    <comment ref="E10" authorId="0" shapeId="0" xr:uid="{00000000-0006-0000-0200-00001E000000}">
      <text>
        <r>
          <rPr>
            <sz val="9"/>
            <color indexed="81"/>
            <rFont val="Tahoma"/>
            <family val="2"/>
          </rPr>
          <t>Enter the total number of mature cows plus bred heifers (all cows approximately 14 mo and older).</t>
        </r>
      </text>
    </comment>
    <comment ref="F12" authorId="0" shapeId="0" xr:uid="{00000000-0006-0000-0200-00001F000000}">
      <text>
        <r>
          <rPr>
            <sz val="9"/>
            <color indexed="81"/>
            <rFont val="Tahoma"/>
            <family val="2"/>
          </rPr>
          <t>Goes to feedlot after weaning at 581 kg and 7 months old.  Rate of gain for fattening 3.0 lb/day.  Slaughtered at 1300 lbs and about 15 months old.</t>
        </r>
      </text>
    </comment>
    <comment ref="M12" authorId="0" shapeId="0" xr:uid="{00000000-0006-0000-0200-000020000000}">
      <text>
        <r>
          <rPr>
            <sz val="9"/>
            <color indexed="81"/>
            <rFont val="Tahoma"/>
            <family val="2"/>
          </rPr>
          <t>Grain based finishing ration.</t>
        </r>
      </text>
    </comment>
    <comment ref="P12" authorId="0" shapeId="0" xr:uid="{00000000-0006-0000-0200-000021000000}">
      <text>
        <r>
          <rPr>
            <sz val="9"/>
            <color indexed="81"/>
            <rFont val="Tahoma"/>
            <family val="2"/>
          </rPr>
          <t>Slaughtered at 15 months of age.</t>
        </r>
      </text>
    </comment>
    <comment ref="AO12" authorId="0" shapeId="0" xr:uid="{00000000-0006-0000-0200-000022000000}">
      <text>
        <r>
          <rPr>
            <sz val="9"/>
            <color indexed="81"/>
            <rFont val="Tahoma"/>
            <family val="2"/>
          </rPr>
          <t>grain based for fattening stage - 80% barley at 0.35 and 20% hay at 0.23 = 0.326%</t>
        </r>
      </text>
    </comment>
    <comment ref="B14" authorId="0" shapeId="0" xr:uid="{00000000-0006-0000-0200-000023000000}">
      <text>
        <r>
          <rPr>
            <sz val="9"/>
            <color indexed="81"/>
            <rFont val="Tahoma"/>
            <family val="2"/>
          </rPr>
          <t>Cattle coming off pasture to be finished.  May have some grain in the diet.</t>
        </r>
      </text>
    </comment>
    <comment ref="M14" authorId="0" shapeId="0" xr:uid="{00000000-0006-0000-0200-000024000000}">
      <text>
        <r>
          <rPr>
            <sz val="9"/>
            <color indexed="81"/>
            <rFont val="Tahoma"/>
            <family val="2"/>
          </rPr>
          <t>Grain based finishing ration.</t>
        </r>
      </text>
    </comment>
    <comment ref="P14" authorId="0" shapeId="0" xr:uid="{00000000-0006-0000-0200-000025000000}">
      <text>
        <r>
          <rPr>
            <sz val="9"/>
            <color indexed="81"/>
            <rFont val="Tahoma"/>
            <family val="2"/>
          </rPr>
          <t>Sept 1 - Christmas
Slaughtered at 20-21 months of age.</t>
        </r>
      </text>
    </comment>
    <comment ref="AO14" authorId="0" shapeId="0" xr:uid="{00000000-0006-0000-0200-000026000000}">
      <text>
        <r>
          <rPr>
            <sz val="9"/>
            <color indexed="81"/>
            <rFont val="Tahoma"/>
            <family val="2"/>
          </rPr>
          <t>same as short keep</t>
        </r>
      </text>
    </comment>
    <comment ref="F15" authorId="0" shapeId="0" xr:uid="{00000000-0006-0000-0200-000027000000}">
      <text>
        <r>
          <rPr>
            <sz val="9"/>
            <color indexed="81"/>
            <rFont val="Tahoma"/>
            <family val="2"/>
          </rPr>
          <t>Goes to pasture at 793 lbs and 390 days old.  Rate of gain 1.7 lb/day on good pasture.</t>
        </r>
      </text>
    </comment>
    <comment ref="M15" authorId="0" shapeId="0" xr:uid="{00000000-0006-0000-0200-000028000000}">
      <text>
        <r>
          <rPr>
            <sz val="9"/>
            <color indexed="81"/>
            <rFont val="Tahoma"/>
            <family val="2"/>
          </rPr>
          <t>Excretion was 90% with 11% protein and 2.5% intake.  This seems too high for these weight gains on pasture.  Reduced intake and protein to 2.3% and 10% to reflect lower rate of gain.</t>
        </r>
      </text>
    </comment>
    <comment ref="P15" authorId="0" shapeId="0" xr:uid="{00000000-0006-0000-0200-000029000000}">
      <text>
        <r>
          <rPr>
            <sz val="9"/>
            <color indexed="81"/>
            <rFont val="Tahoma"/>
            <family val="2"/>
          </rPr>
          <t>May 15 to Sept 1</t>
        </r>
      </text>
    </comment>
    <comment ref="T15" authorId="0" shapeId="0" xr:uid="{00000000-0006-0000-0200-00002A000000}">
      <text>
        <r>
          <rPr>
            <sz val="9"/>
            <color indexed="81"/>
            <rFont val="Tahoma"/>
            <family val="2"/>
          </rPr>
          <t xml:space="preserve">Grass pasture not annually fertilized.  Backgrounders would go on the best pasture.  </t>
        </r>
      </text>
    </comment>
    <comment ref="AO15" authorId="0" shapeId="0" xr:uid="{00000000-0006-0000-0200-00002B000000}">
      <text>
        <r>
          <rPr>
            <sz val="9"/>
            <color indexed="81"/>
            <rFont val="Tahoma"/>
            <family val="2"/>
          </rPr>
          <t>Pasture with no supplemental P.</t>
        </r>
      </text>
    </comment>
    <comment ref="F16" authorId="0" shapeId="0" xr:uid="{00000000-0006-0000-0200-00002C000000}">
      <text>
        <r>
          <rPr>
            <sz val="9"/>
            <color indexed="81"/>
            <rFont val="Tahoma"/>
            <family val="2"/>
          </rPr>
          <t>210 days old at weaning from above (roughly 7 months).  500 lb, lighter steer fed to 793 lb at 1.6 lb/day controlled gain for bone and muscle.</t>
        </r>
      </text>
    </comment>
    <comment ref="M16" authorId="0" shapeId="0" xr:uid="{00000000-0006-0000-0200-00002D000000}">
      <text>
        <r>
          <rPr>
            <sz val="9"/>
            <color indexed="81"/>
            <rFont val="Tahoma"/>
            <family val="2"/>
          </rPr>
          <t xml:space="preserve">Email from Bouchard June 23 2014.  Dry matter intake for calves 2.5-3.0%.  </t>
        </r>
      </text>
    </comment>
    <comment ref="P16" authorId="0" shapeId="0" xr:uid="{00000000-0006-0000-0200-00002E000000}">
      <text>
        <r>
          <rPr>
            <sz val="9"/>
            <color indexed="81"/>
            <rFont val="Tahoma"/>
            <family val="2"/>
          </rPr>
          <t>Nov 15 - May 15</t>
        </r>
      </text>
    </comment>
    <comment ref="AO16" authorId="0" shapeId="0" xr:uid="{00000000-0006-0000-0200-00002F000000}">
      <text>
        <r>
          <rPr>
            <sz val="9"/>
            <color indexed="81"/>
            <rFont val="Tahoma"/>
            <family val="2"/>
          </rPr>
          <t xml:space="preserve">80% forage (0.23) and 20% grain (0.35)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ploro</author>
    <author>CSawka</author>
  </authors>
  <commentList>
    <comment ref="M3" authorId="0" shapeId="0" xr:uid="{00000000-0006-0000-0300-000001000000}">
      <text>
        <r>
          <rPr>
            <sz val="9"/>
            <color indexed="81"/>
            <rFont val="Tahoma"/>
            <family val="2"/>
          </rPr>
          <t>As per Rob Berry (NRC).  Average over the cycle.</t>
        </r>
      </text>
    </comment>
    <comment ref="AN3" authorId="1" shapeId="0" xr:uid="{00000000-0006-0000-0300-000002000000}">
      <text>
        <r>
          <rPr>
            <b/>
            <sz val="9"/>
            <color indexed="81"/>
            <rFont val="Tahoma"/>
            <family val="2"/>
          </rPr>
          <t>CSawka:</t>
        </r>
        <r>
          <rPr>
            <sz val="9"/>
            <color indexed="81"/>
            <rFont val="Tahoma"/>
            <family val="2"/>
          </rPr>
          <t xml:space="preserve">
provided by Juanita </t>
        </r>
      </text>
    </comment>
    <comment ref="AR3" authorId="0" shapeId="0" xr:uid="{00000000-0006-0000-0300-000003000000}">
      <text>
        <r>
          <rPr>
            <sz val="9"/>
            <color indexed="81"/>
            <rFont val="Tahoma"/>
            <family val="2"/>
          </rPr>
          <t>This is on high end of range in Environmental Impacts of Beef Cattle (7.4-8.0 g/kg).  Dairy cattle would be higher due to a higher proportion of skeleton relative to muscle.
Lynch and McCaffery 7-9 g/kg
Koelsch 7.5 g/kg  
Calves:  Hill et al 4.1-5.6 g/kg
Marcondes et al : 8.34 g/kg</t>
        </r>
      </text>
    </comment>
    <comment ref="AV3" authorId="0" shapeId="0" xr:uid="{00000000-0006-0000-0300-000004000000}">
      <text>
        <r>
          <rPr>
            <b/>
            <sz val="9"/>
            <color indexed="81"/>
            <rFont val="Tahoma"/>
            <family val="2"/>
          </rPr>
          <t>ploro:</t>
        </r>
        <r>
          <rPr>
            <sz val="9"/>
            <color indexed="81"/>
            <rFont val="Tahoma"/>
            <family val="2"/>
          </rPr>
          <t xml:space="preserve">
See P metabolism report on P drive.  0.7-1.2
Lynch and McCaffery 0.9
Kees 0.9</t>
        </r>
      </text>
    </comment>
    <comment ref="D5" authorId="0" shapeId="0" xr:uid="{00000000-0006-0000-0300-000005000000}">
      <text>
        <r>
          <rPr>
            <sz val="9"/>
            <color indexed="81"/>
            <rFont val="Tahoma"/>
            <family val="2"/>
          </rPr>
          <t xml:space="preserve">In a herd of 100 mature cows (lactating mature, lactating first calf and dry cows), the average replacement rate is about 30% of the lactating cows (24/80).  </t>
        </r>
      </text>
    </comment>
    <comment ref="G5" authorId="0" shapeId="0" xr:uid="{00000000-0006-0000-0300-000006000000}">
      <text>
        <r>
          <rPr>
            <sz val="9"/>
            <color indexed="81"/>
            <rFont val="Tahoma"/>
            <family val="2"/>
          </rPr>
          <t>Initial weight loss can be large (up to a few hundred pounds for a high producing cow), then regained plus some gain (20 lbs) for the fetus after insemination.</t>
        </r>
      </text>
    </comment>
    <comment ref="T5" authorId="0" shapeId="0" xr:uid="{00000000-0006-0000-0300-000007000000}">
      <text>
        <r>
          <rPr>
            <sz val="9"/>
            <color indexed="81"/>
            <rFont val="Tahoma"/>
            <family val="2"/>
          </rPr>
          <t>Kees et al. 2004. CJAS</t>
        </r>
      </text>
    </comment>
    <comment ref="Y5" authorId="0" shapeId="0" xr:uid="{00000000-0006-0000-0300-000008000000}">
      <text>
        <r>
          <rPr>
            <b/>
            <sz val="9"/>
            <color indexed="81"/>
            <rFont val="Tahoma"/>
            <family val="2"/>
          </rPr>
          <t>ploro:</t>
        </r>
        <r>
          <rPr>
            <sz val="9"/>
            <color indexed="81"/>
            <rFont val="Tahoma"/>
            <family val="2"/>
          </rPr>
          <t xml:space="preserve">
Andrew et al 1994 J Dairy Sci… table 7,  early and late lactation cow (LL) 83.6/464*1000/6.25 = 28.8 g N/kg. 
Koelsch used 27 g/kg.
See spreadsheet of literature review</t>
        </r>
      </text>
    </comment>
    <comment ref="AA5" authorId="0" shapeId="0" xr:uid="{00000000-0006-0000-0300-000009000000}">
      <text>
        <r>
          <rPr>
            <sz val="9"/>
            <color indexed="81"/>
            <rFont val="Tahoma"/>
            <family val="2"/>
          </rPr>
          <t>Provincial average</t>
        </r>
      </text>
    </comment>
    <comment ref="AN5" authorId="1" shapeId="0" xr:uid="{00000000-0006-0000-0300-00000A000000}">
      <text>
        <r>
          <rPr>
            <sz val="9"/>
            <color indexed="81"/>
            <rFont val="Tahoma"/>
            <family val="2"/>
          </rPr>
          <t>Kees Plazier 2012 Mb data</t>
        </r>
      </text>
    </comment>
    <comment ref="L6" authorId="0" shapeId="0" xr:uid="{00000000-0006-0000-0300-00000B000000}">
      <text>
        <r>
          <rPr>
            <sz val="9"/>
            <color indexed="81"/>
            <rFont val="Tahoma"/>
            <family val="2"/>
          </rPr>
          <t>Holsteins - gain 80 kg over 2 cycles</t>
        </r>
      </text>
    </comment>
    <comment ref="T6" authorId="0" shapeId="0" xr:uid="{00000000-0006-0000-0300-00000C000000}">
      <text>
        <r>
          <rPr>
            <sz val="9"/>
            <color indexed="81"/>
            <rFont val="Tahoma"/>
            <family val="2"/>
          </rPr>
          <t>Kees et al. 2004. CJAS</t>
        </r>
      </text>
    </comment>
    <comment ref="AN6" authorId="1" shapeId="0" xr:uid="{00000000-0006-0000-0300-00000D000000}">
      <text>
        <r>
          <rPr>
            <sz val="9"/>
            <color indexed="81"/>
            <rFont val="Tahoma"/>
            <family val="2"/>
          </rPr>
          <t>Kees Plazier 2012 Mb data</t>
        </r>
      </text>
    </comment>
    <comment ref="G7" authorId="0" shapeId="0" xr:uid="{00000000-0006-0000-0300-00000E000000}">
      <text>
        <r>
          <rPr>
            <sz val="9"/>
            <color indexed="81"/>
            <rFont val="Tahoma"/>
            <family val="2"/>
          </rPr>
          <t xml:space="preserve">Enters at 1440 lb.  55 lbs gain plus 70 lbs in the calf (total calf weight is 90 lbs, 20 gained as lactating mature cow). </t>
        </r>
      </text>
    </comment>
    <comment ref="T7" authorId="0" shapeId="0" xr:uid="{00000000-0006-0000-0300-00000F000000}">
      <text>
        <r>
          <rPr>
            <sz val="9"/>
            <color indexed="81"/>
            <rFont val="Tahoma"/>
            <family val="2"/>
          </rPr>
          <t>NRC</t>
        </r>
      </text>
    </comment>
    <comment ref="AN7" authorId="1" shapeId="0" xr:uid="{00000000-0006-0000-0300-000010000000}">
      <text>
        <r>
          <rPr>
            <sz val="9"/>
            <color indexed="81"/>
            <rFont val="Tahoma"/>
            <family val="2"/>
          </rPr>
          <t xml:space="preserve">RBerry NRC </t>
        </r>
      </text>
    </comment>
    <comment ref="D8" authorId="0" shapeId="0" xr:uid="{00000000-0006-0000-0300-000011000000}">
      <text>
        <r>
          <rPr>
            <sz val="9"/>
            <color indexed="81"/>
            <rFont val="Tahoma"/>
            <family val="2"/>
          </rPr>
          <t>Steer calves are shipped off the farm.</t>
        </r>
      </text>
    </comment>
    <comment ref="N8" authorId="0" shapeId="0" xr:uid="{00000000-0006-0000-0300-000012000000}">
      <text>
        <r>
          <rPr>
            <sz val="9"/>
            <color indexed="81"/>
            <rFont val="Tahoma"/>
            <family val="2"/>
          </rPr>
          <t>1.4 kg milk replacer + 0.2 calf grower + 0.1 forage</t>
        </r>
      </text>
    </comment>
    <comment ref="T8" authorId="0" shapeId="0" xr:uid="{00000000-0006-0000-0300-000013000000}">
      <text>
        <r>
          <rPr>
            <sz val="9"/>
            <color indexed="81"/>
            <rFont val="Tahoma"/>
            <family val="2"/>
          </rPr>
          <t xml:space="preserve">Protein content of feed including milk replacer.  </t>
        </r>
      </text>
    </comment>
    <comment ref="AN8" authorId="0" shapeId="0" xr:uid="{00000000-0006-0000-0300-000014000000}">
      <text>
        <r>
          <rPr>
            <b/>
            <sz val="9"/>
            <color indexed="81"/>
            <rFont val="Tahoma"/>
            <family val="2"/>
          </rPr>
          <t>ploro:</t>
        </r>
        <r>
          <rPr>
            <sz val="9"/>
            <color indexed="81"/>
            <rFont val="Tahoma"/>
            <family val="2"/>
          </rPr>
          <t xml:space="preserve">
R Berry ration NRC program </t>
        </r>
      </text>
    </comment>
    <comment ref="T9" authorId="0" shapeId="0" xr:uid="{00000000-0006-0000-0300-000015000000}">
      <text>
        <r>
          <rPr>
            <sz val="9"/>
            <color indexed="81"/>
            <rFont val="Tahoma"/>
            <family val="2"/>
          </rPr>
          <t>NRC</t>
        </r>
      </text>
    </comment>
    <comment ref="T10" authorId="0" shapeId="0" xr:uid="{00000000-0006-0000-0300-000016000000}">
      <text>
        <r>
          <rPr>
            <sz val="9"/>
            <color indexed="81"/>
            <rFont val="Tahoma"/>
            <family val="2"/>
          </rPr>
          <t>NRC</t>
        </r>
      </text>
    </comment>
    <comment ref="A12" authorId="0" shapeId="0" xr:uid="{00000000-0006-0000-0300-000017000000}">
      <text>
        <r>
          <rPr>
            <sz val="9"/>
            <color indexed="81"/>
            <rFont val="Tahoma"/>
            <family val="2"/>
          </rPr>
          <t xml:space="preserve">100 mature cows (56 lactating mature, 24 lactating first calf heifer and 20 dry), 8 calves (0-3 months), 20 (4-13 months), 35 (&gt;13 months)
</t>
        </r>
      </text>
    </comment>
    <comment ref="D12" authorId="0" shapeId="0" xr:uid="{00000000-0006-0000-0300-000018000000}">
      <text>
        <r>
          <rPr>
            <sz val="9"/>
            <color indexed="81"/>
            <rFont val="Tahoma"/>
            <family val="2"/>
          </rPr>
          <t>Enter the total number of mature cows plus bred heifers (all cows approximately 14 mo and older).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ploro</author>
    <author>ikirby</author>
  </authors>
  <commentList>
    <comment ref="D10" authorId="0" shapeId="0" xr:uid="{00000000-0006-0000-0400-000001000000}">
      <text>
        <r>
          <rPr>
            <sz val="9"/>
            <color indexed="81"/>
            <rFont val="Tahoma"/>
            <family val="2"/>
          </rPr>
          <t xml:space="preserve">Assumes for every 100 ewes, there are 15 replacements, 3 rams and 294 lambs (100 ewes * 3.2 lambs per litter * .92 survival *1.4 lambs per year (3 lambings in 2 yrs)) </t>
        </r>
      </text>
    </comment>
    <comment ref="D11" authorId="0" shapeId="0" xr:uid="{00000000-0006-0000-0400-000002000000}">
      <text>
        <r>
          <rPr>
            <sz val="9"/>
            <color indexed="81"/>
            <rFont val="Tahoma"/>
            <family val="2"/>
          </rPr>
          <t>Lamb places.  Lambs older than 70 days.</t>
        </r>
      </text>
    </comment>
    <comment ref="N11" authorId="1" shapeId="0" xr:uid="{00000000-0006-0000-0400-000003000000}">
      <text>
        <r>
          <rPr>
            <sz val="9"/>
            <color indexed="81"/>
            <rFont val="Tahoma"/>
            <family val="2"/>
          </rPr>
          <t xml:space="preserve">Feedlot is always full.  Anything below 365 is to account for time the lamb place is empty.  </t>
        </r>
      </text>
    </comment>
    <comment ref="O11" authorId="0" shapeId="0" xr:uid="{00000000-0006-0000-0400-000004000000}">
      <text>
        <r>
          <rPr>
            <sz val="9"/>
            <color indexed="81"/>
            <rFont val="Tahoma"/>
            <family val="2"/>
          </rPr>
          <t xml:space="preserve">Days on feed x cycles per year gives the number of days the lamb place is full.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CSawka</author>
    <author>Johnston, Amy (AGR)</author>
    <author>ploro</author>
  </authors>
  <commentList>
    <comment ref="AQ3" authorId="0" shapeId="0" xr:uid="{00000000-0006-0000-0500-000001000000}">
      <text>
        <r>
          <rPr>
            <sz val="9"/>
            <color indexed="81"/>
            <rFont val="Tahoma"/>
            <family val="2"/>
          </rPr>
          <t>Yitbarek, 2010 (Thesis)</t>
        </r>
      </text>
    </comment>
    <comment ref="AJ4" authorId="1" shapeId="0" xr:uid="{00000000-0006-0000-0500-000002000000}">
      <text>
        <r>
          <rPr>
            <b/>
            <sz val="9"/>
            <color indexed="81"/>
            <rFont val="Tahoma"/>
            <family val="2"/>
          </rPr>
          <t>Johnston, Amy (AGR):</t>
        </r>
        <r>
          <rPr>
            <sz val="9"/>
            <color indexed="81"/>
            <rFont val="Tahoma"/>
            <family val="2"/>
          </rPr>
          <t xml:space="preserve">
Reference # not used in calculations
</t>
        </r>
      </text>
    </comment>
    <comment ref="J5" authorId="1" shapeId="0" xr:uid="{00000000-0006-0000-0500-000003000000}">
      <text>
        <r>
          <rPr>
            <b/>
            <sz val="9"/>
            <color indexed="81"/>
            <rFont val="Tahoma"/>
            <family val="2"/>
          </rPr>
          <t>Johnston, Amy (AGR):</t>
        </r>
        <r>
          <rPr>
            <sz val="9"/>
            <color indexed="81"/>
            <rFont val="Tahoma"/>
            <family val="2"/>
          </rPr>
          <t xml:space="preserve">
Ind Avg TN</t>
        </r>
      </text>
    </comment>
    <comment ref="W5" authorId="1" shapeId="0" xr:uid="{00000000-0006-0000-0500-000004000000}">
      <text>
        <r>
          <rPr>
            <sz val="9"/>
            <color indexed="81"/>
            <rFont val="Tahoma"/>
            <family val="2"/>
          </rPr>
          <t>Average:
Bregendahl et al
Coufal et al
Robinson and Robinson
de Boer et al</t>
        </r>
      </text>
    </comment>
    <comment ref="AQ5" authorId="1" shapeId="0" xr:uid="{00000000-0006-0000-0500-000005000000}">
      <text>
        <r>
          <rPr>
            <b/>
            <sz val="9"/>
            <color indexed="81"/>
            <rFont val="Tahoma"/>
            <family val="2"/>
          </rPr>
          <t>Johnston, Amy (AGR):</t>
        </r>
        <r>
          <rPr>
            <sz val="9"/>
            <color indexed="81"/>
            <rFont val="Tahoma"/>
            <family val="2"/>
          </rPr>
          <t xml:space="preserve">
Reference Shastak et al. 2012 
avg of diets with +0.16 and 0.24 P above basal (0.51 and 0.59 total P) in Table 4 for birds raised to 35 days
Rounded to 4 based on EU Comparison</t>
        </r>
      </text>
    </comment>
    <comment ref="BE5" authorId="0" shapeId="0" xr:uid="{00000000-0006-0000-0500-000006000000}">
      <text>
        <r>
          <rPr>
            <b/>
            <sz val="9"/>
            <color indexed="81"/>
            <rFont val="Tahoma"/>
            <family val="2"/>
          </rPr>
          <t>CSawka:</t>
        </r>
        <r>
          <rPr>
            <sz val="9"/>
            <color indexed="81"/>
            <rFont val="Tahoma"/>
            <family val="2"/>
          </rPr>
          <t xml:space="preserve">
See poultry check.</t>
        </r>
      </text>
    </comment>
    <comment ref="J6" authorId="1" shapeId="0" xr:uid="{00000000-0006-0000-0500-000007000000}">
      <text>
        <r>
          <rPr>
            <b/>
            <sz val="9"/>
            <color indexed="81"/>
            <rFont val="Tahoma"/>
            <family val="2"/>
          </rPr>
          <t>Johnston, Amy (AGR):</t>
        </r>
        <r>
          <rPr>
            <sz val="9"/>
            <color indexed="81"/>
            <rFont val="Tahoma"/>
            <family val="2"/>
          </rPr>
          <t xml:space="preserve">
typical industry average with weight provided</t>
        </r>
      </text>
    </comment>
    <comment ref="P6" authorId="1" shapeId="0" xr:uid="{00000000-0006-0000-0500-000008000000}">
      <text>
        <r>
          <rPr>
            <b/>
            <sz val="9"/>
            <color indexed="81"/>
            <rFont val="Tahoma"/>
            <family val="2"/>
          </rPr>
          <t>Johnston, Amy (AGR):</t>
        </r>
        <r>
          <rPr>
            <sz val="9"/>
            <color indexed="81"/>
            <rFont val="Tahoma"/>
            <family val="2"/>
          </rPr>
          <t xml:space="preserve">
Industry Average As Fed </t>
        </r>
      </text>
    </comment>
    <comment ref="W6" authorId="1" shapeId="0" xr:uid="{00000000-0006-0000-0500-000009000000}">
      <text>
        <r>
          <rPr>
            <sz val="9"/>
            <color indexed="81"/>
            <rFont val="Tahoma"/>
            <family val="2"/>
          </rPr>
          <t>Average:
Bregendahl et al
Coufal et al
Robinson and Robinson
de Boer et al</t>
        </r>
      </text>
    </comment>
    <comment ref="AM6" authorId="1" shapeId="0" xr:uid="{00000000-0006-0000-0500-00000A000000}">
      <text>
        <r>
          <rPr>
            <b/>
            <sz val="9"/>
            <color indexed="81"/>
            <rFont val="Tahoma"/>
            <family val="2"/>
          </rPr>
          <t>Johnston, Amy (AGR):</t>
        </r>
        <r>
          <rPr>
            <sz val="9"/>
            <color indexed="81"/>
            <rFont val="Tahoma"/>
            <family val="2"/>
          </rPr>
          <t xml:space="preserve">
Industry Weighted Average range 0.65 to 0.5
</t>
        </r>
      </text>
    </comment>
    <comment ref="BE6" authorId="0" shapeId="0" xr:uid="{00000000-0006-0000-0500-00000B000000}">
      <text>
        <r>
          <rPr>
            <b/>
            <sz val="9"/>
            <color indexed="81"/>
            <rFont val="Tahoma"/>
            <family val="2"/>
          </rPr>
          <t>CSawka:</t>
        </r>
        <r>
          <rPr>
            <sz val="9"/>
            <color indexed="81"/>
            <rFont val="Tahoma"/>
            <family val="2"/>
          </rPr>
          <t xml:space="preserve">
See poultry check.</t>
        </r>
      </text>
    </comment>
    <comment ref="P7" authorId="1" shapeId="0" xr:uid="{00000000-0006-0000-0500-00000C000000}">
      <text>
        <r>
          <rPr>
            <b/>
            <sz val="9"/>
            <color indexed="81"/>
            <rFont val="Tahoma"/>
            <family val="2"/>
          </rPr>
          <t>Johnston, Amy (AGR):</t>
        </r>
        <r>
          <rPr>
            <sz val="9"/>
            <color indexed="81"/>
            <rFont val="Tahoma"/>
            <family val="2"/>
          </rPr>
          <t xml:space="preserve">
Ind Avg MF and TN</t>
        </r>
      </text>
    </comment>
    <comment ref="W7" authorId="1" shapeId="0" xr:uid="{00000000-0006-0000-0500-00000D000000}">
      <text>
        <r>
          <rPr>
            <sz val="9"/>
            <color indexed="81"/>
            <rFont val="Tahoma"/>
            <family val="2"/>
          </rPr>
          <t>Average for breeders:
Robinson and Robinson
Avila et al</t>
        </r>
      </text>
    </comment>
    <comment ref="BE7" authorId="0" shapeId="0" xr:uid="{00000000-0006-0000-0500-00000E000000}">
      <text>
        <r>
          <rPr>
            <b/>
            <sz val="9"/>
            <color indexed="81"/>
            <rFont val="Tahoma"/>
            <family val="2"/>
          </rPr>
          <t>CSawka:</t>
        </r>
        <r>
          <rPr>
            <sz val="9"/>
            <color indexed="81"/>
            <rFont val="Tahoma"/>
            <family val="2"/>
          </rPr>
          <t xml:space="preserve">
See poultry check.</t>
        </r>
      </text>
    </comment>
    <comment ref="W8" authorId="1" shapeId="0" xr:uid="{00000000-0006-0000-0500-00000F000000}">
      <text>
        <r>
          <rPr>
            <sz val="9"/>
            <color indexed="81"/>
            <rFont val="Tahoma"/>
            <family val="2"/>
          </rPr>
          <t>Average for breeders:
Robinson and Robinson
Avila et al</t>
        </r>
      </text>
    </comment>
    <comment ref="Y8" authorId="1" shapeId="0" xr:uid="{00000000-0006-0000-0500-000010000000}">
      <text>
        <r>
          <rPr>
            <sz val="9"/>
            <color indexed="81"/>
            <rFont val="Tahoma"/>
            <family val="2"/>
          </rPr>
          <t>Ind Quota cap 150 plus 3 cull eggs shipped off farm</t>
        </r>
      </text>
    </comment>
    <comment ref="Z8" authorId="1" shapeId="0" xr:uid="{00000000-0006-0000-0500-000011000000}">
      <text>
        <r>
          <rPr>
            <b/>
            <sz val="9"/>
            <color indexed="81"/>
            <rFont val="Tahoma"/>
            <family val="2"/>
          </rPr>
          <t>Johnston, Amy (AGR):</t>
        </r>
        <r>
          <rPr>
            <sz val="9"/>
            <color indexed="81"/>
            <rFont val="Tahoma"/>
            <family val="2"/>
          </rPr>
          <t xml:space="preserve">
Aviagen Presentation, John Halley, PhD:
12.1% protein per egg
(12.1/100*60)/6.25=1.16</t>
        </r>
      </text>
    </comment>
    <comment ref="AS8" authorId="2" shapeId="0" xr:uid="{00000000-0006-0000-0500-000012000000}">
      <text>
        <r>
          <rPr>
            <b/>
            <sz val="9"/>
            <color indexed="81"/>
            <rFont val="Tahoma"/>
            <family val="2"/>
          </rPr>
          <t>ploro:</t>
        </r>
        <r>
          <rPr>
            <sz val="9"/>
            <color indexed="81"/>
            <rFont val="Tahoma"/>
            <family val="2"/>
          </rPr>
          <t xml:space="preserve">
0.12 g/60g egg in Netherlands paper</t>
        </r>
      </text>
    </comment>
    <comment ref="BE8" authorId="0" shapeId="0" xr:uid="{00000000-0006-0000-0500-000013000000}">
      <text>
        <r>
          <rPr>
            <b/>
            <sz val="9"/>
            <color indexed="81"/>
            <rFont val="Tahoma"/>
            <family val="2"/>
          </rPr>
          <t>CSawka:</t>
        </r>
        <r>
          <rPr>
            <sz val="9"/>
            <color indexed="81"/>
            <rFont val="Tahoma"/>
            <family val="2"/>
          </rPr>
          <t xml:space="preserve">
See poultry check.</t>
        </r>
      </text>
    </comment>
    <comment ref="R10" authorId="1" shapeId="0" xr:uid="{00000000-0006-0000-0500-000014000000}">
      <text>
        <r>
          <rPr>
            <b/>
            <sz val="9"/>
            <color indexed="81"/>
            <rFont val="Tahoma"/>
            <family val="2"/>
          </rPr>
          <t>Johnston, Amy (AGR):</t>
        </r>
        <r>
          <rPr>
            <sz val="9"/>
            <color indexed="81"/>
            <rFont val="Tahoma"/>
            <family val="2"/>
          </rPr>
          <t xml:space="preserve">
weighted avg</t>
        </r>
      </text>
    </comment>
    <comment ref="W10" authorId="1" shapeId="0" xr:uid="{00000000-0006-0000-0500-000015000000}">
      <text>
        <r>
          <rPr>
            <b/>
            <sz val="9"/>
            <color indexed="81"/>
            <rFont val="Tahoma"/>
            <family val="2"/>
          </rPr>
          <t>Johnston, Amy (AGR):</t>
        </r>
        <r>
          <rPr>
            <sz val="9"/>
            <color indexed="81"/>
            <rFont val="Tahoma"/>
            <family val="2"/>
          </rPr>
          <t xml:space="preserve">
dos Santos et al 2017 J. An. Sci and Research; avg. of W36 at 16 wks</t>
        </r>
      </text>
    </comment>
    <comment ref="AQ10" authorId="1" shapeId="0" xr:uid="{00000000-0006-0000-0500-000016000000}">
      <text>
        <r>
          <rPr>
            <b/>
            <sz val="9"/>
            <color indexed="81"/>
            <rFont val="Tahoma"/>
            <family val="2"/>
          </rPr>
          <t>Johnston, Amy (AGR):</t>
        </r>
        <r>
          <rPr>
            <sz val="9"/>
            <color indexed="81"/>
            <rFont val="Tahoma"/>
            <family val="2"/>
          </rPr>
          <t xml:space="preserve">
Lambert et al 2014; table 23. Average 75 weeks of lay
QC is higher (6.6) for pullets with good correlation.</t>
        </r>
      </text>
    </comment>
    <comment ref="W11" authorId="1" shapeId="0" xr:uid="{00000000-0006-0000-0500-000017000000}">
      <text>
        <r>
          <rPr>
            <b/>
            <sz val="9"/>
            <color indexed="81"/>
            <rFont val="Tahoma"/>
            <family val="2"/>
          </rPr>
          <t>Johnston, Amy (AGR):</t>
        </r>
        <r>
          <rPr>
            <sz val="9"/>
            <color indexed="81"/>
            <rFont val="Tahoma"/>
            <family val="2"/>
          </rPr>
          <t xml:space="preserve">
dos Santos et al 2017 J. An. Sci and Research; avg. of W36 at 72 wks</t>
        </r>
      </text>
    </comment>
    <comment ref="Y11" authorId="1" shapeId="0" xr:uid="{00000000-0006-0000-0500-000018000000}">
      <text>
        <r>
          <rPr>
            <b/>
            <sz val="9"/>
            <color indexed="81"/>
            <rFont val="Tahoma"/>
            <family val="2"/>
          </rPr>
          <t xml:space="preserve">Tracy Speirs:
Typical Shurgain 
MB flock </t>
        </r>
      </text>
    </comment>
    <comment ref="Z11" authorId="2" shapeId="0" xr:uid="{00000000-0006-0000-0500-000019000000}">
      <text>
        <r>
          <rPr>
            <b/>
            <sz val="9"/>
            <color indexed="81"/>
            <rFont val="Tahoma"/>
            <family val="2"/>
          </rPr>
          <t>ploro:</t>
        </r>
        <r>
          <rPr>
            <sz val="9"/>
            <color indexed="81"/>
            <rFont val="Tahoma"/>
            <family val="2"/>
          </rPr>
          <t xml:space="preserve">
Manitoba Egg Farmers website:
13g protein/105 g egg
13/105*60=7.43 g protein
7.43/6.25=1.19</t>
        </r>
      </text>
    </comment>
    <comment ref="AQ11" authorId="2" shapeId="0" xr:uid="{00000000-0006-0000-0500-00001A000000}">
      <text>
        <r>
          <rPr>
            <b/>
            <sz val="9"/>
            <color indexed="81"/>
            <rFont val="Tahoma"/>
            <family val="2"/>
          </rPr>
          <t>ploro:</t>
        </r>
        <r>
          <rPr>
            <sz val="9"/>
            <color indexed="81"/>
            <rFont val="Tahoma"/>
            <family val="2"/>
          </rPr>
          <t xml:space="preserve">
QC is lower for laying hens (4) but with very poor correlation.</t>
        </r>
      </text>
    </comment>
    <comment ref="AS11" authorId="1" shapeId="0" xr:uid="{00000000-0006-0000-0500-00001B000000}">
      <text>
        <r>
          <rPr>
            <b/>
            <sz val="9"/>
            <color indexed="81"/>
            <rFont val="Tahoma"/>
            <family val="2"/>
          </rPr>
          <t>Johnston, Amy (AGR):</t>
        </r>
        <r>
          <rPr>
            <sz val="9"/>
            <color indexed="81"/>
            <rFont val="Tahoma"/>
            <family val="2"/>
          </rPr>
          <t xml:space="preserve">
Lambert et al 2014; table 23. 1.98g/kg=0.198g/100g =0.12g/60g egg
Netherlands 0.126/60 g egg
Manitoba Research:  
Neijat et al 2011; table 4: 1.5 mg/g = 0.150 g/100g = 0.09 g/60 g egg</t>
        </r>
      </text>
    </comment>
    <comment ref="P12" authorId="1" shapeId="0" xr:uid="{00000000-0006-0000-0500-00001C000000}">
      <text>
        <r>
          <rPr>
            <b/>
            <sz val="9"/>
            <color indexed="81"/>
            <rFont val="Tahoma"/>
            <family val="2"/>
          </rPr>
          <t>Johnston, Amy (AGR):</t>
        </r>
        <r>
          <rPr>
            <sz val="9"/>
            <color indexed="81"/>
            <rFont val="Tahoma"/>
            <family val="2"/>
          </rPr>
          <t xml:space="preserve">
ind avg Clarks and steinbach</t>
        </r>
      </text>
    </comment>
    <comment ref="P13" authorId="1" shapeId="0" xr:uid="{00000000-0006-0000-0500-00001D000000}">
      <text>
        <r>
          <rPr>
            <b/>
            <sz val="9"/>
            <color indexed="81"/>
            <rFont val="Tahoma"/>
            <family val="2"/>
          </rPr>
          <t>Johnston, Amy (AGR):</t>
        </r>
        <r>
          <rPr>
            <sz val="9"/>
            <color indexed="81"/>
            <rFont val="Tahoma"/>
            <family val="2"/>
          </rPr>
          <t xml:space="preserve">
Industry Avg Clarks and Steinbach</t>
        </r>
      </text>
    </comment>
    <comment ref="Y13" authorId="1" shapeId="0" xr:uid="{00000000-0006-0000-0500-00001E000000}">
      <text>
        <r>
          <rPr>
            <b/>
            <sz val="9"/>
            <color indexed="81"/>
            <rFont val="Tahoma"/>
            <family val="2"/>
          </rPr>
          <t>Johnston, Amy (AGR):</t>
        </r>
        <r>
          <rPr>
            <sz val="9"/>
            <color indexed="81"/>
            <rFont val="Tahoma"/>
            <family val="2"/>
          </rPr>
          <t xml:space="preserve">
Clarks</t>
        </r>
      </text>
    </comment>
    <comment ref="AM13" authorId="2" shapeId="0" xr:uid="{00000000-0006-0000-0500-00001F000000}">
      <text>
        <r>
          <rPr>
            <b/>
            <sz val="9"/>
            <color indexed="81"/>
            <rFont val="Tahoma"/>
            <family val="2"/>
          </rPr>
          <t>ploro:</t>
        </r>
        <r>
          <rPr>
            <sz val="9"/>
            <color indexed="81"/>
            <rFont val="Tahoma"/>
            <family val="2"/>
          </rPr>
          <t xml:space="preserve">
Industry ave (MF)</t>
        </r>
      </text>
    </comment>
    <comment ref="AS13" authorId="1" shapeId="0" xr:uid="{00000000-0006-0000-0500-000020000000}">
      <text>
        <r>
          <rPr>
            <b/>
            <sz val="9"/>
            <color indexed="81"/>
            <rFont val="Tahoma"/>
            <family val="2"/>
          </rPr>
          <t>Johnston, Amy (AGR):</t>
        </r>
        <r>
          <rPr>
            <sz val="9"/>
            <color indexed="81"/>
            <rFont val="Tahoma"/>
            <family val="2"/>
          </rPr>
          <t xml:space="preserve">
Lambert et al 2014; table 23. 1.98g/kg=0.198g/100g =0.12g/60g egg
Neijat et al 2011; table 4: 1.5 mg/g = 0.150 g/100g = 0.09 g/60 g egg</t>
        </r>
      </text>
    </comment>
    <comment ref="R15" authorId="1" shapeId="0" xr:uid="{00000000-0006-0000-0500-000021000000}">
      <text>
        <r>
          <rPr>
            <b/>
            <sz val="9"/>
            <color indexed="81"/>
            <rFont val="Tahoma"/>
            <family val="2"/>
          </rPr>
          <t>Johnston, Amy (AGR):</t>
        </r>
        <r>
          <rPr>
            <sz val="9"/>
            <color indexed="81"/>
            <rFont val="Tahoma"/>
            <family val="2"/>
          </rPr>
          <t xml:space="preserve">
weighted avg</t>
        </r>
      </text>
    </comment>
    <comment ref="W15" authorId="2" shapeId="0" xr:uid="{00000000-0006-0000-0500-000022000000}">
      <text>
        <r>
          <rPr>
            <b/>
            <sz val="9"/>
            <color indexed="81"/>
            <rFont val="Tahoma"/>
            <family val="2"/>
          </rPr>
          <t>ploro:</t>
        </r>
        <r>
          <rPr>
            <sz val="9"/>
            <color indexed="81"/>
            <rFont val="Tahoma"/>
            <family val="2"/>
          </rPr>
          <t xml:space="preserve">
Same as white based on EU study consistency.</t>
        </r>
      </text>
    </comment>
    <comment ref="AQ15" authorId="1" shapeId="0" xr:uid="{00000000-0006-0000-0500-000023000000}">
      <text>
        <r>
          <rPr>
            <b/>
            <sz val="9"/>
            <color indexed="81"/>
            <rFont val="Tahoma"/>
            <family val="2"/>
          </rPr>
          <t>Johnston, Amy (AGR):</t>
        </r>
        <r>
          <rPr>
            <sz val="9"/>
            <color indexed="81"/>
            <rFont val="Tahoma"/>
            <family val="2"/>
          </rPr>
          <t xml:space="preserve">
Lambert et al 2014; table 23. Average 75 weeks of lay</t>
        </r>
      </text>
    </comment>
    <comment ref="Y16" authorId="1" shapeId="0" xr:uid="{00000000-0006-0000-0500-000024000000}">
      <text>
        <r>
          <rPr>
            <b/>
            <sz val="9"/>
            <color indexed="81"/>
            <rFont val="Tahoma"/>
            <family val="2"/>
          </rPr>
          <t xml:space="preserve">Tracy Speirs:
Typical Shurgain 
MB flock </t>
        </r>
      </text>
    </comment>
    <comment ref="AS16" authorId="1" shapeId="0" xr:uid="{00000000-0006-0000-0500-000025000000}">
      <text>
        <r>
          <rPr>
            <b/>
            <sz val="9"/>
            <color indexed="81"/>
            <rFont val="Tahoma"/>
            <family val="2"/>
          </rPr>
          <t>Johnston, Amy (AGR):</t>
        </r>
        <r>
          <rPr>
            <sz val="9"/>
            <color indexed="81"/>
            <rFont val="Tahoma"/>
            <family val="2"/>
          </rPr>
          <t xml:space="preserve">
Lambert et al 2014; table 23. 1.98g/kg=0.198g/100g =0.12g/60g egg
Neijat et al 2011; table 4: 1.5 mg/g = 0.150 g/100g = 0.09 g/60 g egg</t>
        </r>
      </text>
    </comment>
    <comment ref="P17" authorId="1" shapeId="0" xr:uid="{00000000-0006-0000-0500-000026000000}">
      <text>
        <r>
          <rPr>
            <b/>
            <sz val="9"/>
            <color indexed="81"/>
            <rFont val="Tahoma"/>
            <family val="2"/>
          </rPr>
          <t>Johnston, Amy (AGR):</t>
        </r>
        <r>
          <rPr>
            <sz val="9"/>
            <color indexed="81"/>
            <rFont val="Tahoma"/>
            <family val="2"/>
          </rPr>
          <t xml:space="preserve">
ind avg Clarks</t>
        </r>
      </text>
    </comment>
    <comment ref="Y18" authorId="1" shapeId="0" xr:uid="{00000000-0006-0000-0500-000027000000}">
      <text>
        <r>
          <rPr>
            <b/>
            <sz val="9"/>
            <color indexed="81"/>
            <rFont val="Tahoma"/>
            <family val="2"/>
          </rPr>
          <t>Johnston, Amy (AGR):</t>
        </r>
        <r>
          <rPr>
            <sz val="9"/>
            <color indexed="81"/>
            <rFont val="Tahoma"/>
            <family val="2"/>
          </rPr>
          <t xml:space="preserve">
Clarks</t>
        </r>
      </text>
    </comment>
    <comment ref="AS18" authorId="1" shapeId="0" xr:uid="{00000000-0006-0000-0500-000028000000}">
      <text>
        <r>
          <rPr>
            <b/>
            <sz val="9"/>
            <color indexed="81"/>
            <rFont val="Tahoma"/>
            <family val="2"/>
          </rPr>
          <t>Johnston, Amy (AGR):</t>
        </r>
        <r>
          <rPr>
            <sz val="9"/>
            <color indexed="81"/>
            <rFont val="Tahoma"/>
            <family val="2"/>
          </rPr>
          <t xml:space="preserve">
Lambert et al 2014; table 23. 1.98g/kg=0.198g/100g =0.12g/60g egg
Neijat et al 2011; table 4: 1.5 mg/g = 0.150 g/100g = 0.09 g/60 g egg</t>
        </r>
      </text>
    </comment>
    <comment ref="P20" authorId="1" shapeId="0" xr:uid="{00000000-0006-0000-0500-000029000000}">
      <text>
        <r>
          <rPr>
            <b/>
            <sz val="9"/>
            <color indexed="81"/>
            <rFont val="Tahoma"/>
            <family val="2"/>
          </rPr>
          <t>Johnston, Amy (AGR):</t>
        </r>
        <r>
          <rPr>
            <sz val="9"/>
            <color indexed="81"/>
            <rFont val="Tahoma"/>
            <family val="2"/>
          </rPr>
          <t xml:space="preserve">
Shurgain</t>
        </r>
      </text>
    </comment>
    <comment ref="W20" authorId="1" shapeId="0" xr:uid="{00000000-0006-0000-0500-00002A000000}">
      <text>
        <r>
          <rPr>
            <b/>
            <sz val="9"/>
            <color indexed="81"/>
            <rFont val="Tahoma"/>
            <family val="2"/>
          </rPr>
          <t>Johnston, Amy (AGR):</t>
        </r>
        <r>
          <rPr>
            <sz val="9"/>
            <color indexed="81"/>
            <rFont val="Tahoma"/>
            <family val="2"/>
          </rPr>
          <t xml:space="preserve">
Liu et al. 2011
pg 1157
N content of turkey toms 2.96% as is basis</t>
        </r>
      </text>
    </comment>
    <comment ref="AM20" authorId="1" shapeId="0" xr:uid="{00000000-0006-0000-0500-00002B000000}">
      <text>
        <r>
          <rPr>
            <b/>
            <sz val="9"/>
            <color indexed="81"/>
            <rFont val="Tahoma"/>
            <family val="2"/>
          </rPr>
          <t>Johnston, Amy (AGR):</t>
        </r>
        <r>
          <rPr>
            <sz val="9"/>
            <color indexed="81"/>
            <rFont val="Tahoma"/>
            <family val="2"/>
          </rPr>
          <t xml:space="preserve">
Shurgain</t>
        </r>
      </text>
    </comment>
    <comment ref="B21" authorId="1" shapeId="0" xr:uid="{00000000-0006-0000-0500-00002C000000}">
      <text>
        <r>
          <rPr>
            <b/>
            <sz val="9"/>
            <color indexed="81"/>
            <rFont val="Tahoma"/>
            <family val="2"/>
          </rPr>
          <t>Johnston, Amy (AGR):</t>
        </r>
        <r>
          <rPr>
            <sz val="9"/>
            <color indexed="81"/>
            <rFont val="Tahoma"/>
            <family val="2"/>
          </rPr>
          <t xml:space="preserve">
Weights, ages and feed amts. Provided by industry (Shurgain/Masterfeeds); Nutrient content of feed provided by industry (Shurgain/Masterfeeds/Standard)</t>
        </r>
      </text>
    </comment>
    <comment ref="P21" authorId="1" shapeId="0" xr:uid="{00000000-0006-0000-0500-00002D000000}">
      <text>
        <r>
          <rPr>
            <b/>
            <sz val="9"/>
            <color indexed="81"/>
            <rFont val="Tahoma"/>
            <family val="2"/>
          </rPr>
          <t>Johnston, Amy (AGR):</t>
        </r>
        <r>
          <rPr>
            <sz val="9"/>
            <color indexed="81"/>
            <rFont val="Tahoma"/>
            <family val="2"/>
          </rPr>
          <t xml:space="preserve">
Shurgain</t>
        </r>
      </text>
    </comment>
    <comment ref="W21" authorId="1" shapeId="0" xr:uid="{00000000-0006-0000-0500-00002E000000}">
      <text>
        <r>
          <rPr>
            <b/>
            <sz val="9"/>
            <color indexed="81"/>
            <rFont val="Tahoma"/>
            <family val="2"/>
          </rPr>
          <t>Johnston, Amy (AGR):</t>
        </r>
        <r>
          <rPr>
            <sz val="9"/>
            <color indexed="81"/>
            <rFont val="Tahoma"/>
            <family val="2"/>
          </rPr>
          <t xml:space="preserve">
Liu et al. 2011
pg 1157
N content of turkey toms 2.96% as is basis</t>
        </r>
      </text>
    </comment>
    <comment ref="AM21" authorId="1" shapeId="0" xr:uid="{00000000-0006-0000-0500-00002F000000}">
      <text>
        <r>
          <rPr>
            <b/>
            <sz val="9"/>
            <color indexed="81"/>
            <rFont val="Tahoma"/>
            <family val="2"/>
          </rPr>
          <t>Johnston, Amy (AGR):</t>
        </r>
        <r>
          <rPr>
            <sz val="9"/>
            <color indexed="81"/>
            <rFont val="Tahoma"/>
            <family val="2"/>
          </rPr>
          <t xml:space="preserve">
Ind Avg (Shurgain, MF)</t>
        </r>
      </text>
    </comment>
    <comment ref="AQ21" authorId="1" shapeId="0" xr:uid="{00000000-0006-0000-0500-000030000000}">
      <text>
        <r>
          <rPr>
            <b/>
            <sz val="9"/>
            <color indexed="81"/>
            <rFont val="Tahoma"/>
            <family val="2"/>
          </rPr>
          <t>Johnston, Amy (AGR):</t>
        </r>
        <r>
          <rPr>
            <sz val="9"/>
            <color indexed="81"/>
            <rFont val="Tahoma"/>
            <family val="2"/>
          </rPr>
          <t xml:space="preserve">
Applegate et al. (2008) Table 5 average of industry diet</t>
        </r>
      </text>
    </comment>
    <comment ref="B22" authorId="1" shapeId="0" xr:uid="{00000000-0006-0000-0500-000031000000}">
      <text>
        <r>
          <rPr>
            <b/>
            <sz val="9"/>
            <color indexed="81"/>
            <rFont val="Tahoma"/>
            <family val="2"/>
          </rPr>
          <t>Johnston, Amy (AGR):</t>
        </r>
        <r>
          <rPr>
            <sz val="9"/>
            <color indexed="81"/>
            <rFont val="Tahoma"/>
            <family val="2"/>
          </rPr>
          <t xml:space="preserve">
Weights, ages and feed amts. Provided by industry (Shurgain/Masterfeeds); Nutrient content of feed provided by industry (Shurgain/Masterfeeds/Standard)</t>
        </r>
      </text>
    </comment>
    <comment ref="W22" authorId="1" shapeId="0" xr:uid="{00000000-0006-0000-0500-000032000000}">
      <text>
        <r>
          <rPr>
            <b/>
            <sz val="9"/>
            <color indexed="81"/>
            <rFont val="Tahoma"/>
            <family val="2"/>
          </rPr>
          <t>Johnston, Amy (AGR):</t>
        </r>
        <r>
          <rPr>
            <sz val="9"/>
            <color indexed="81"/>
            <rFont val="Tahoma"/>
            <family val="2"/>
          </rPr>
          <t xml:space="preserve">
Liu et al. 2011
pg 1157
N content of turkey toms 2.96% as is basis</t>
        </r>
      </text>
    </comment>
    <comment ref="AQ22" authorId="1" shapeId="0" xr:uid="{00000000-0006-0000-0500-000033000000}">
      <text>
        <r>
          <rPr>
            <b/>
            <sz val="9"/>
            <color indexed="81"/>
            <rFont val="Tahoma"/>
            <family val="2"/>
          </rPr>
          <t>Johnston, Amy (AGR):</t>
        </r>
        <r>
          <rPr>
            <sz val="9"/>
            <color indexed="81"/>
            <rFont val="Tahoma"/>
            <family val="2"/>
          </rPr>
          <t xml:space="preserve">
Applegate et al. (2008) Table 5 average of industry diet</t>
        </r>
      </text>
    </comment>
    <comment ref="B23" authorId="1" shapeId="0" xr:uid="{00000000-0006-0000-0500-000034000000}">
      <text>
        <r>
          <rPr>
            <b/>
            <sz val="9"/>
            <color indexed="81"/>
            <rFont val="Tahoma"/>
            <family val="2"/>
          </rPr>
          <t>Johnston, Amy (AGR):</t>
        </r>
        <r>
          <rPr>
            <sz val="9"/>
            <color indexed="81"/>
            <rFont val="Tahoma"/>
            <family val="2"/>
          </rPr>
          <t xml:space="preserve">
Weights, ages and feed amts. Provided by industry (Shurgain/Masterfeeds); Nutrient content of feed provided by industry (Shurgain/Masterfeeds/Standard)</t>
        </r>
      </text>
    </comment>
    <comment ref="W23" authorId="1" shapeId="0" xr:uid="{00000000-0006-0000-0500-000035000000}">
      <text>
        <r>
          <rPr>
            <b/>
            <sz val="9"/>
            <color indexed="81"/>
            <rFont val="Tahoma"/>
            <family val="2"/>
          </rPr>
          <t>Johnston, Amy (AGR):</t>
        </r>
        <r>
          <rPr>
            <sz val="9"/>
            <color indexed="81"/>
            <rFont val="Tahoma"/>
            <family val="2"/>
          </rPr>
          <t xml:space="preserve">
Liu et al. 2011
pg 1157
N content of turkey toms 2.96% as is basis</t>
        </r>
      </text>
    </comment>
    <comment ref="AQ23" authorId="1" shapeId="0" xr:uid="{00000000-0006-0000-0500-000036000000}">
      <text>
        <r>
          <rPr>
            <b/>
            <sz val="9"/>
            <color indexed="81"/>
            <rFont val="Tahoma"/>
            <family val="2"/>
          </rPr>
          <t>Johnston, Amy (AGR):</t>
        </r>
        <r>
          <rPr>
            <sz val="9"/>
            <color indexed="81"/>
            <rFont val="Tahoma"/>
            <family val="2"/>
          </rPr>
          <t xml:space="preserve">
Applegate et al. (2008) Table 5 average of industry diet</t>
        </r>
      </text>
    </comment>
    <comment ref="P24" authorId="1" shapeId="0" xr:uid="{00000000-0006-0000-0500-000037000000}">
      <text>
        <r>
          <rPr>
            <b/>
            <sz val="9"/>
            <color indexed="81"/>
            <rFont val="Tahoma"/>
            <family val="2"/>
          </rPr>
          <t>Johnston, Amy (AGR):</t>
        </r>
        <r>
          <rPr>
            <sz val="9"/>
            <color indexed="81"/>
            <rFont val="Tahoma"/>
            <family val="2"/>
          </rPr>
          <t xml:space="preserve">
Industry (Charisons)</t>
        </r>
      </text>
    </comment>
    <comment ref="W24" authorId="1" shapeId="0" xr:uid="{00000000-0006-0000-0500-000038000000}">
      <text>
        <r>
          <rPr>
            <b/>
            <sz val="9"/>
            <color indexed="81"/>
            <rFont val="Tahoma"/>
            <family val="2"/>
          </rPr>
          <t>Johnston, Amy (AGR):</t>
        </r>
        <r>
          <rPr>
            <sz val="9"/>
            <color indexed="81"/>
            <rFont val="Tahoma"/>
            <family val="2"/>
          </rPr>
          <t xml:space="preserve">
Liu et al. 2011
pg 1157
N content of turkey toms 2.96% as is basis</t>
        </r>
      </text>
    </comment>
    <comment ref="AQ24" authorId="1" shapeId="0" xr:uid="{00000000-0006-0000-0500-000039000000}">
      <text>
        <r>
          <rPr>
            <b/>
            <sz val="9"/>
            <color indexed="81"/>
            <rFont val="Tahoma"/>
            <family val="2"/>
          </rPr>
          <t>Johnston, Amy (AGR):</t>
        </r>
        <r>
          <rPr>
            <sz val="9"/>
            <color indexed="81"/>
            <rFont val="Tahoma"/>
            <family val="2"/>
          </rPr>
          <t xml:space="preserve">
Applegate et al. (2008) Table 5 average of industry diet</t>
        </r>
      </text>
    </comment>
    <comment ref="B25" authorId="1" shapeId="0" xr:uid="{00000000-0006-0000-0500-00003A000000}">
      <text>
        <r>
          <rPr>
            <b/>
            <sz val="9"/>
            <color indexed="81"/>
            <rFont val="Tahoma"/>
            <family val="2"/>
          </rPr>
          <t>Johnston, Amy (AGR):</t>
        </r>
        <r>
          <rPr>
            <sz val="9"/>
            <color indexed="81"/>
            <rFont val="Tahoma"/>
            <family val="2"/>
          </rPr>
          <t xml:space="preserve">
End of Lay ranges from 61 to 67 weeks as per industry (Charisons)</t>
        </r>
      </text>
    </comment>
    <comment ref="W25" authorId="1" shapeId="0" xr:uid="{00000000-0006-0000-0500-00003B000000}">
      <text>
        <r>
          <rPr>
            <b/>
            <sz val="9"/>
            <color indexed="81"/>
            <rFont val="Tahoma"/>
            <family val="2"/>
          </rPr>
          <t>Johnston, Amy (AGR):</t>
        </r>
        <r>
          <rPr>
            <sz val="9"/>
            <color indexed="81"/>
            <rFont val="Tahoma"/>
            <family val="2"/>
          </rPr>
          <t xml:space="preserve">
Liu et al. 2011
pg 1157
N content of turkey toms 2.96% as is basis</t>
        </r>
      </text>
    </comment>
    <comment ref="Y25" authorId="1" shapeId="0" xr:uid="{00000000-0006-0000-0500-00003C000000}">
      <text>
        <r>
          <rPr>
            <b/>
            <sz val="9"/>
            <color indexed="81"/>
            <rFont val="Tahoma"/>
            <family val="2"/>
          </rPr>
          <t>Johnston, Amy (AGR):</t>
        </r>
        <r>
          <rPr>
            <sz val="9"/>
            <color indexed="81"/>
            <rFont val="Tahoma"/>
            <family val="2"/>
          </rPr>
          <t xml:space="preserve">
Charisons: 111 eggs + 7 culls</t>
        </r>
      </text>
    </comment>
    <comment ref="Z25" authorId="1" shapeId="0" xr:uid="{00000000-0006-0000-0500-00003D000000}">
      <text>
        <r>
          <rPr>
            <b/>
            <sz val="9"/>
            <color indexed="81"/>
            <rFont val="Tahoma"/>
            <family val="2"/>
          </rPr>
          <t>Johnston, Amy (AGR):</t>
        </r>
        <r>
          <rPr>
            <sz val="9"/>
            <color indexed="81"/>
            <rFont val="Tahoma"/>
            <family val="2"/>
          </rPr>
          <t xml:space="preserve">
Ghane et al (2015) Table 5.  Calculated avg protein (g) per egg</t>
        </r>
      </text>
    </comment>
    <comment ref="AQ25" authorId="1" shapeId="0" xr:uid="{00000000-0006-0000-0500-00003E000000}">
      <text>
        <r>
          <rPr>
            <b/>
            <sz val="9"/>
            <color indexed="81"/>
            <rFont val="Tahoma"/>
            <family val="2"/>
          </rPr>
          <t>Johnston, Amy (AGR):</t>
        </r>
        <r>
          <rPr>
            <sz val="9"/>
            <color indexed="81"/>
            <rFont val="Tahoma"/>
            <family val="2"/>
          </rPr>
          <t xml:space="preserve">
Applegate et al. (2008) Table 5 average of industry diet</t>
        </r>
      </text>
    </comment>
    <comment ref="AS25" authorId="1" shapeId="0" xr:uid="{00000000-0006-0000-0500-00003F000000}">
      <text>
        <r>
          <rPr>
            <b/>
            <sz val="9"/>
            <color indexed="81"/>
            <rFont val="Tahoma"/>
            <family val="2"/>
          </rPr>
          <t>Johnston, Amy (AGR):</t>
        </r>
        <r>
          <rPr>
            <sz val="9"/>
            <color indexed="81"/>
            <rFont val="Tahoma"/>
            <family val="2"/>
          </rPr>
          <t xml:space="preserve">
Godwin et al (2005) and Adeyeye (2009)</t>
        </r>
      </text>
    </comment>
    <comment ref="B26" authorId="1" shapeId="0" xr:uid="{00000000-0006-0000-0500-000040000000}">
      <text>
        <r>
          <rPr>
            <b/>
            <sz val="9"/>
            <color indexed="81"/>
            <rFont val="Tahoma"/>
            <family val="2"/>
          </rPr>
          <t>Johnston, Amy (AGR):</t>
        </r>
        <r>
          <rPr>
            <sz val="9"/>
            <color indexed="81"/>
            <rFont val="Tahoma"/>
            <family val="2"/>
          </rPr>
          <t xml:space="preserve">
Breeding toms are kept on farm from 0-30 weeks but breeding flock is selected at 17 weeks with a cull of some of the toms</t>
        </r>
      </text>
    </comment>
    <comment ref="P26" authorId="1" shapeId="0" xr:uid="{00000000-0006-0000-0500-000041000000}">
      <text>
        <r>
          <rPr>
            <b/>
            <sz val="9"/>
            <color indexed="81"/>
            <rFont val="Tahoma"/>
            <family val="2"/>
          </rPr>
          <t>Johnston, Amy (AGR):</t>
        </r>
        <r>
          <rPr>
            <sz val="9"/>
            <color indexed="81"/>
            <rFont val="Tahoma"/>
            <family val="2"/>
          </rPr>
          <t xml:space="preserve">
Nicholas and Hybrid cumulative consumption @ 17 wks [Charisons avg was too low]</t>
        </r>
      </text>
    </comment>
    <comment ref="W26" authorId="1" shapeId="0" xr:uid="{00000000-0006-0000-0500-000042000000}">
      <text>
        <r>
          <rPr>
            <b/>
            <sz val="9"/>
            <color indexed="81"/>
            <rFont val="Tahoma"/>
            <family val="2"/>
          </rPr>
          <t>Johnston, Amy (AGR):</t>
        </r>
        <r>
          <rPr>
            <sz val="9"/>
            <color indexed="81"/>
            <rFont val="Tahoma"/>
            <family val="2"/>
          </rPr>
          <t xml:space="preserve">
Liu et al. 2011
pg 1157
N content of turkey toms 2.96% as is basis</t>
        </r>
      </text>
    </comment>
    <comment ref="AQ26" authorId="1" shapeId="0" xr:uid="{00000000-0006-0000-0500-000043000000}">
      <text>
        <r>
          <rPr>
            <b/>
            <sz val="9"/>
            <color indexed="81"/>
            <rFont val="Tahoma"/>
            <family val="2"/>
          </rPr>
          <t>Johnston, Amy (AGR):</t>
        </r>
        <r>
          <rPr>
            <sz val="9"/>
            <color indexed="81"/>
            <rFont val="Tahoma"/>
            <family val="2"/>
          </rPr>
          <t xml:space="preserve">
Applegate et al. (2008) Table 5 average of industry diet</t>
        </r>
      </text>
    </comment>
    <comment ref="B27" authorId="1" shapeId="0" xr:uid="{00000000-0006-0000-0500-000044000000}">
      <text>
        <r>
          <rPr>
            <b/>
            <sz val="9"/>
            <color indexed="81"/>
            <rFont val="Tahoma"/>
            <family val="2"/>
          </rPr>
          <t>Johnston, Amy (AGR):</t>
        </r>
        <r>
          <rPr>
            <sz val="9"/>
            <color indexed="81"/>
            <rFont val="Tahoma"/>
            <family val="2"/>
          </rPr>
          <t xml:space="preserve">
Johnston, Amy (AGR):
Breeding toms are kept on farm from 0-30 weeks but breeding flock is selected at 17 weeks with a cull of some of the toms</t>
        </r>
      </text>
    </comment>
    <comment ref="P27" authorId="1" shapeId="0" xr:uid="{00000000-0006-0000-0500-000045000000}">
      <text>
        <r>
          <rPr>
            <b/>
            <sz val="9"/>
            <color indexed="81"/>
            <rFont val="Tahoma"/>
            <family val="2"/>
          </rPr>
          <t>Johnston, Amy (AGR):</t>
        </r>
        <r>
          <rPr>
            <sz val="9"/>
            <color indexed="81"/>
            <rFont val="Tahoma"/>
            <family val="2"/>
          </rPr>
          <t xml:space="preserve">
assume 625 g feed per day as per Charisons</t>
        </r>
      </text>
    </comment>
    <comment ref="W27" authorId="1" shapeId="0" xr:uid="{00000000-0006-0000-0500-000046000000}">
      <text>
        <r>
          <rPr>
            <b/>
            <sz val="9"/>
            <color indexed="81"/>
            <rFont val="Tahoma"/>
            <family val="2"/>
          </rPr>
          <t>Johnston, Amy (AGR):</t>
        </r>
        <r>
          <rPr>
            <sz val="9"/>
            <color indexed="81"/>
            <rFont val="Tahoma"/>
            <family val="2"/>
          </rPr>
          <t xml:space="preserve">
Liu et al. 2011
pg 1157
N content of turkey toms 2.96% as is basis</t>
        </r>
      </text>
    </comment>
    <comment ref="AQ27" authorId="1" shapeId="0" xr:uid="{00000000-0006-0000-0500-000047000000}">
      <text>
        <r>
          <rPr>
            <b/>
            <sz val="9"/>
            <color indexed="81"/>
            <rFont val="Tahoma"/>
            <family val="2"/>
          </rPr>
          <t>Johnston, Amy (AGR):</t>
        </r>
        <r>
          <rPr>
            <sz val="9"/>
            <color indexed="81"/>
            <rFont val="Tahoma"/>
            <family val="2"/>
          </rPr>
          <t xml:space="preserve">
Applegate et al. (2008) Table 5 average of industry diet</t>
        </r>
      </text>
    </comment>
    <comment ref="B28" authorId="1" shapeId="0" xr:uid="{00000000-0006-0000-0500-000048000000}">
      <text>
        <r>
          <rPr>
            <b/>
            <sz val="9"/>
            <color indexed="81"/>
            <rFont val="Tahoma"/>
            <family val="2"/>
          </rPr>
          <t>Johnston, Amy (AGR):</t>
        </r>
        <r>
          <rPr>
            <sz val="9"/>
            <color indexed="81"/>
            <rFont val="Tahoma"/>
            <family val="2"/>
          </rPr>
          <t xml:space="preserve">
End of Lay ranges from 61 to 67 weeks as per Industry (Charisons)</t>
        </r>
      </text>
    </comment>
    <comment ref="P28" authorId="1" shapeId="0" xr:uid="{00000000-0006-0000-0500-000049000000}">
      <text>
        <r>
          <rPr>
            <b/>
            <sz val="9"/>
            <color indexed="81"/>
            <rFont val="Tahoma"/>
            <family val="2"/>
          </rPr>
          <t>Johnston, Amy (AGR):</t>
        </r>
        <r>
          <rPr>
            <sz val="9"/>
            <color indexed="81"/>
            <rFont val="Tahoma"/>
            <family val="2"/>
          </rPr>
          <t xml:space="preserve">
assume 625 g feed per day as per Charisons</t>
        </r>
      </text>
    </comment>
    <comment ref="W28" authorId="1" shapeId="0" xr:uid="{00000000-0006-0000-0500-00004A000000}">
      <text>
        <r>
          <rPr>
            <b/>
            <sz val="9"/>
            <color indexed="81"/>
            <rFont val="Tahoma"/>
            <family val="2"/>
          </rPr>
          <t>Johnston, Amy (AGR):</t>
        </r>
        <r>
          <rPr>
            <sz val="9"/>
            <color indexed="81"/>
            <rFont val="Tahoma"/>
            <family val="2"/>
          </rPr>
          <t xml:space="preserve">
Liu et al. 2011
pg 1157
N content of turkey toms 2.96% as is basis</t>
        </r>
      </text>
    </comment>
    <comment ref="AQ28" authorId="1" shapeId="0" xr:uid="{00000000-0006-0000-0500-00004B000000}">
      <text>
        <r>
          <rPr>
            <b/>
            <sz val="9"/>
            <color indexed="81"/>
            <rFont val="Tahoma"/>
            <family val="2"/>
          </rPr>
          <t>Johnston, Amy (AGR):</t>
        </r>
        <r>
          <rPr>
            <sz val="9"/>
            <color indexed="81"/>
            <rFont val="Tahoma"/>
            <family val="2"/>
          </rPr>
          <t xml:space="preserve">
Applegate et al. (2008) Table 5 average of industry diet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CSawka</author>
    <author>ploro</author>
  </authors>
  <commentList>
    <comment ref="F6" authorId="0" shapeId="0" xr:uid="{00000000-0006-0000-0900-000001000000}">
      <text>
        <r>
          <rPr>
            <sz val="9"/>
            <color indexed="81"/>
            <rFont val="Tahoma"/>
            <family val="2"/>
          </rPr>
          <t>Cull Sow places = sows x 0.5 replacement/52 weeks x 2 weeks in room</t>
        </r>
      </text>
    </comment>
    <comment ref="F7" authorId="0" shapeId="0" xr:uid="{00000000-0006-0000-0900-000002000000}">
      <text>
        <r>
          <rPr>
            <sz val="9"/>
            <color indexed="81"/>
            <rFont val="Tahoma"/>
            <family val="2"/>
          </rPr>
          <t>Bred Gilt places = sows x 0.5 replacement/52 weeks x 17 weeks in room (121 days on feed)</t>
        </r>
      </text>
    </comment>
    <comment ref="F8" authorId="0" shapeId="0" xr:uid="{00000000-0006-0000-0900-000003000000}">
      <text>
        <r>
          <rPr>
            <sz val="9"/>
            <color indexed="81"/>
            <rFont val="Tahoma"/>
            <family val="2"/>
          </rPr>
          <t xml:space="preserve">Gilt places = sows x 0.5 replacement/52 weeks x 
4 weeks in room (28 days on feed)
</t>
        </r>
      </text>
    </comment>
    <comment ref="F16" authorId="1" shapeId="0" xr:uid="{00000000-0006-0000-0900-000004000000}">
      <text>
        <r>
          <rPr>
            <sz val="9"/>
            <color indexed="81"/>
            <rFont val="Tahoma"/>
            <family val="2"/>
          </rPr>
          <t>If you keep replacement bulls, include them in the appropriate feeder category.</t>
        </r>
      </text>
    </comment>
  </commentList>
</comments>
</file>

<file path=xl/sharedStrings.xml><?xml version="1.0" encoding="utf-8"?>
<sst xmlns="http://schemas.openxmlformats.org/spreadsheetml/2006/main" count="1214" uniqueCount="450">
  <si>
    <t>Species</t>
  </si>
  <si>
    <t>Type</t>
  </si>
  <si>
    <t>Days on Feed</t>
  </si>
  <si>
    <t>Sheep</t>
  </si>
  <si>
    <t>Sows, farrow to 5 kg</t>
  </si>
  <si>
    <t>Sows, farrow to 23 kg</t>
  </si>
  <si>
    <t>Sows, farrow to finish</t>
  </si>
  <si>
    <t>Weanlings</t>
  </si>
  <si>
    <t>Animal Numbers</t>
  </si>
  <si>
    <t>Storage Type</t>
  </si>
  <si>
    <t>Storages</t>
  </si>
  <si>
    <t>Liquid Covered</t>
  </si>
  <si>
    <t>Liquid Uncovered Earthen</t>
  </si>
  <si>
    <t>Liquid Uncovered Steel/Concrete</t>
  </si>
  <si>
    <t>Mole Hill</t>
  </si>
  <si>
    <t>N % Loss</t>
  </si>
  <si>
    <t>Compost</t>
  </si>
  <si>
    <t>Bulls</t>
  </si>
  <si>
    <t>Feeder</t>
  </si>
  <si>
    <t>Ewes</t>
  </si>
  <si>
    <t>Rams</t>
  </si>
  <si>
    <t>Lambs</t>
  </si>
  <si>
    <t>Replacement Ewes</t>
  </si>
  <si>
    <t>Broilers</t>
  </si>
  <si>
    <t>Broiler Breeder Pullets</t>
  </si>
  <si>
    <t>Broiler Breeder Hens</t>
  </si>
  <si>
    <t>Chickens</t>
  </si>
  <si>
    <t>Turkey</t>
  </si>
  <si>
    <t>Field Storage</t>
  </si>
  <si>
    <t>Nitrogen</t>
  </si>
  <si>
    <t>Protein</t>
  </si>
  <si>
    <t>%</t>
  </si>
  <si>
    <t>Total</t>
  </si>
  <si>
    <t>P2O5</t>
  </si>
  <si>
    <t>P2O5 kg/1000 kg live weight / Day</t>
  </si>
  <si>
    <t>Animal Weight In (kg)</t>
  </si>
  <si>
    <t>Animal Weight Out (kg)</t>
  </si>
  <si>
    <t>N Excreted Per Sheep Place kg/yr</t>
  </si>
  <si>
    <t>N Excreted Per Flock kg/yr</t>
  </si>
  <si>
    <t>Adjusted for Loss N kg/Yr</t>
  </si>
  <si>
    <t>P2O5 Excreted Per Sheep Place kg/yr</t>
  </si>
  <si>
    <t>P2O5 Excreted Per Flock kg/yr</t>
  </si>
  <si>
    <t>Ewes, plus assoc livestock</t>
  </si>
  <si>
    <t>(Days)</t>
  </si>
  <si>
    <t>(days)</t>
  </si>
  <si>
    <t xml:space="preserve"> (kg N/yr/herd)</t>
  </si>
  <si>
    <t>N Excreted Per Herd Adjusted for Storage N Loss</t>
  </si>
  <si>
    <t>n/a</t>
  </si>
  <si>
    <t>(kg)</t>
  </si>
  <si>
    <t>(% body weight)</t>
  </si>
  <si>
    <t>(kg/year)</t>
  </si>
  <si>
    <t>N Excreted Per Herd Per Year</t>
  </si>
  <si>
    <t>Days on Feed per Cycle</t>
  </si>
  <si>
    <t>(kg/cycle)</t>
  </si>
  <si>
    <t>Feed Consumed Per Animal per Day</t>
  </si>
  <si>
    <t>(kg/day)</t>
  </si>
  <si>
    <t>Cow Calf</t>
  </si>
  <si>
    <t xml:space="preserve">Average Animal Wt </t>
  </si>
  <si>
    <t>N Excreted Per Animal Per Cycle</t>
  </si>
  <si>
    <t>N Excreted Per Animal per Year</t>
  </si>
  <si>
    <t>Weight In</t>
  </si>
  <si>
    <t>Weight Out</t>
  </si>
  <si>
    <t>Feed Consumed Per Animal Per Day</t>
  </si>
  <si>
    <t>N Excreted Per 1000 kg Animal per Day</t>
  </si>
  <si>
    <t>P2O5 Excreted Per 1000 kg Animal per Day</t>
  </si>
  <si>
    <t>(kg P2O5/1000 kg/day)</t>
  </si>
  <si>
    <t>P2O5 Excreted Per Animal per Cycle</t>
  </si>
  <si>
    <t>P2O5 Excreted Per Animal Per Year</t>
  </si>
  <si>
    <t>P2O5 Excreted Per Herd Per Year</t>
  </si>
  <si>
    <t>(kg P2O5/cycle)</t>
  </si>
  <si>
    <t>(kg P2O5/year)</t>
  </si>
  <si>
    <t>Dairy</t>
  </si>
  <si>
    <t>Mature Cows, plus assoc livestock</t>
  </si>
  <si>
    <t>Lactating cow</t>
  </si>
  <si>
    <t>Dry cow</t>
  </si>
  <si>
    <t>Calf, 0-3 months</t>
  </si>
  <si>
    <t>Calf, 4-13 months</t>
  </si>
  <si>
    <t>Replacements, &gt;13 months</t>
  </si>
  <si>
    <t>Days per Cycle</t>
  </si>
  <si>
    <t>Gestating Sow</t>
  </si>
  <si>
    <t>Nursing Sow</t>
  </si>
  <si>
    <t>Gilts</t>
  </si>
  <si>
    <t>Boars</t>
  </si>
  <si>
    <t>Eggs</t>
  </si>
  <si>
    <t>Heavy Hens (0-14 wks)</t>
  </si>
  <si>
    <t>Breeding Hen Growers (0-30 wks)</t>
  </si>
  <si>
    <t>N excreted/ 1000 kg of production/day</t>
  </si>
  <si>
    <t>P excreted /1000 kg/day</t>
  </si>
  <si>
    <t>P2O5 excreted kg/flock/yr</t>
  </si>
  <si>
    <t>Average Weight kg</t>
  </si>
  <si>
    <t>P2O5 excreted /1000 kg production/day</t>
  </si>
  <si>
    <t>Species / Commodity</t>
  </si>
  <si>
    <t>Type of Operation</t>
  </si>
  <si>
    <t>Days of production / yr</t>
  </si>
  <si>
    <t>Days per year barn (all in all out) or bird space is empty</t>
  </si>
  <si>
    <t>Removal</t>
  </si>
  <si>
    <t xml:space="preserve">Crop </t>
  </si>
  <si>
    <t>N</t>
  </si>
  <si>
    <t>Units</t>
  </si>
  <si>
    <t>Yield</t>
  </si>
  <si>
    <t>Acreage</t>
  </si>
  <si>
    <t>Alfalfa</t>
  </si>
  <si>
    <t>lb/ton</t>
  </si>
  <si>
    <t>ton/ac</t>
  </si>
  <si>
    <t>Barley Grain</t>
  </si>
  <si>
    <t>lb/bu</t>
  </si>
  <si>
    <t>bu/ac</t>
  </si>
  <si>
    <t>Barley Silage</t>
  </si>
  <si>
    <t>Canola</t>
  </si>
  <si>
    <t>Corn Grain</t>
  </si>
  <si>
    <t>Corn Silage</t>
  </si>
  <si>
    <t>tons/ac</t>
  </si>
  <si>
    <t>Dry Edible Beans</t>
  </si>
  <si>
    <t>lb/cwt</t>
  </si>
  <si>
    <t>cwt/ac</t>
  </si>
  <si>
    <t>Fababeans</t>
  </si>
  <si>
    <t>Flax</t>
  </si>
  <si>
    <t>Grass Hay</t>
  </si>
  <si>
    <t>Lentils</t>
  </si>
  <si>
    <t>Oats</t>
  </si>
  <si>
    <t>Peas</t>
  </si>
  <si>
    <t>Potatoes</t>
  </si>
  <si>
    <t>Rye</t>
  </si>
  <si>
    <t>Soybeans</t>
  </si>
  <si>
    <t>Sunflower</t>
  </si>
  <si>
    <t>Wheat - Spring</t>
  </si>
  <si>
    <t>Wheat - Winter</t>
  </si>
  <si>
    <t>(lb/year)</t>
  </si>
  <si>
    <t>Pigs</t>
  </si>
  <si>
    <t>Turkeys</t>
  </si>
  <si>
    <t>(lb/yr/herd)</t>
  </si>
  <si>
    <t>Beef</t>
  </si>
  <si>
    <t>Layers</t>
  </si>
  <si>
    <t>lbs</t>
  </si>
  <si>
    <t>lb/ac</t>
  </si>
  <si>
    <t>acres</t>
  </si>
  <si>
    <t>Mechanically Dried</t>
  </si>
  <si>
    <t>Deposited on Pasture</t>
  </si>
  <si>
    <t>Uptake</t>
  </si>
  <si>
    <t xml:space="preserve">Uptake </t>
  </si>
  <si>
    <t>Pasture (grazed)</t>
  </si>
  <si>
    <t>kg</t>
  </si>
  <si>
    <t>Phosphorus Consumed Per Place Per cycle</t>
  </si>
  <si>
    <t>P Excreted Per Animal Per Day</t>
  </si>
  <si>
    <t>Phosphorus Content of Feed (DM)</t>
  </si>
  <si>
    <t>Volatilization</t>
  </si>
  <si>
    <t>Growers/Finishers</t>
  </si>
  <si>
    <t>(lb)</t>
  </si>
  <si>
    <t>Sheep/Operation Type</t>
  </si>
  <si>
    <t>lb</t>
  </si>
  <si>
    <t>Ave Weight</t>
  </si>
  <si>
    <t>Cycles per Year</t>
  </si>
  <si>
    <t>N Excreted per Flock adjusted for Loss</t>
  </si>
  <si>
    <t>P2O5 Excreted Per Flock</t>
  </si>
  <si>
    <t>lb/flock/yr</t>
  </si>
  <si>
    <t>Lactating Cows</t>
  </si>
  <si>
    <t>Dry Cows</t>
  </si>
  <si>
    <t>Calves, 0-3 months</t>
  </si>
  <si>
    <t>Calves, 4-13 months</t>
  </si>
  <si>
    <t>Mature Cows, plus associated livestock</t>
  </si>
  <si>
    <t>N Excreted Adjusted for N Loss</t>
  </si>
  <si>
    <t>P2O5 Excreted</t>
  </si>
  <si>
    <t>Animal Category/Operation type</t>
  </si>
  <si>
    <t>Note:</t>
  </si>
  <si>
    <t>Bird Places</t>
  </si>
  <si>
    <t>Enter all of the crop rotation data on tab 2.  Long-term crop yield averages using MASC records are required for Provinical Technical Review Site Assessments.</t>
  </si>
  <si>
    <t>For assistance, contact:</t>
  </si>
  <si>
    <t>Nutrients Excreted</t>
  </si>
  <si>
    <t>Crop Nutrient Use</t>
  </si>
  <si>
    <t>Calculated values are shown in the green cells of each tab.</t>
  </si>
  <si>
    <t xml:space="preserve">Farm specific data can be entered in the yellow cells of each tab.  Where appropriate, default values have been provided but can be changed.  </t>
  </si>
  <si>
    <t xml:space="preserve">Enter all of the livestock for your farm and associated data in the yellow cells under tabs 1a to 1e.  </t>
  </si>
  <si>
    <t xml:space="preserve">Total nitrogen (N) and total phosphorus (P2O5) excreted by the livestock are summarized on tab 3.  </t>
  </si>
  <si>
    <t>Colour Conventions:</t>
  </si>
  <si>
    <t>Data Entry and Tab Information:</t>
  </si>
  <si>
    <t>Fixed data are provided in the grey cells of each tab.</t>
  </si>
  <si>
    <t>Additional Acres</t>
  </si>
  <si>
    <t>Estimated Average Removal/Uptake (lb/ac)</t>
  </si>
  <si>
    <t>Crop Planned on Additional Acres</t>
  </si>
  <si>
    <t>Weight Gain</t>
  </si>
  <si>
    <t>Days until Weaned</t>
  </si>
  <si>
    <t>Rate of Gain</t>
  </si>
  <si>
    <t>Days Place is Occupied per Year</t>
  </si>
  <si>
    <t>Dry Matter Protein Consumed Per Place Per Day</t>
  </si>
  <si>
    <t>Dry Matter Protein Consumed Per Place Per Cycle</t>
  </si>
  <si>
    <t>Dry Matter Nitrogen Consumed Per Place Per Cycle</t>
  </si>
  <si>
    <t>Milk Consumed Per Place Per Day</t>
  </si>
  <si>
    <t>Milk Protein Consumed Per Place Per Day</t>
  </si>
  <si>
    <t>Total Milk Protein Consumed Per Place Per Cycle</t>
  </si>
  <si>
    <t>Total Milk Nitrogen Consumed Per Place Per Cycle</t>
  </si>
  <si>
    <t>Total Nitrogen Consumed Per Place Per Cylce</t>
  </si>
  <si>
    <t>Nitrogen per kg Gain</t>
  </si>
  <si>
    <t>Nitrogen Retained in Gain</t>
  </si>
  <si>
    <t>Nitrogen Exported in Milk</t>
  </si>
  <si>
    <t>Total N Retained on Farm per Cycle</t>
  </si>
  <si>
    <t>Manitoba Total N Retained on Farm as a Percent of Total N Consumed</t>
  </si>
  <si>
    <t>MB % Total N Consumed that is Excreted</t>
  </si>
  <si>
    <t>Dry Matter P Consumed Per Place Per Day</t>
  </si>
  <si>
    <t>Dry Matter P Consumed Per Place Per Cycle</t>
  </si>
  <si>
    <t>Milk P Consumed Per Place Per Day</t>
  </si>
  <si>
    <t>Total Milk P Consumed Per Place Per Cycle</t>
  </si>
  <si>
    <t>Phosphorus per kg Gain</t>
  </si>
  <si>
    <t>P Retained in Gain</t>
  </si>
  <si>
    <t>P Exported in Milk</t>
  </si>
  <si>
    <t>P retained per animal per cycle</t>
  </si>
  <si>
    <t>Manitoba Total P Retained on Farm as a Percent of Total P Consumed</t>
  </si>
  <si>
    <t>MB % Total P Consumed that is Excreted</t>
  </si>
  <si>
    <t>(lb/day)</t>
  </si>
  <si>
    <t>(g/day)</t>
  </si>
  <si>
    <t>(g/cycle)</t>
  </si>
  <si>
    <t>(g/kg gain)</t>
  </si>
  <si>
    <t>(kg/1000kg/day)</t>
  </si>
  <si>
    <t>(lb N/yr/herd)</t>
  </si>
  <si>
    <t>(lb P2O5/year)</t>
  </si>
  <si>
    <t>Mature Cows (&gt;2 years old)</t>
  </si>
  <si>
    <t>Bred Heifer (14 mo - 2 years)</t>
  </si>
  <si>
    <t>Replacement Heifers (7 mo-14 mo)</t>
  </si>
  <si>
    <t>Unweaned Calves (0-7 mo)</t>
  </si>
  <si>
    <t>Mature Cows and Bred Heifers, plus associated livestock</t>
  </si>
  <si>
    <t>Feedlot Cattle - long keep</t>
  </si>
  <si>
    <t>Feedlot Cattle - short keep</t>
  </si>
  <si>
    <t>Backgrounders - pasture</t>
  </si>
  <si>
    <t>Backgrounders - confined</t>
  </si>
  <si>
    <t>Last Revised January 21, 2015</t>
  </si>
  <si>
    <t>Sows, farrow to 28 kg</t>
  </si>
  <si>
    <t>Bred Gilt</t>
  </si>
  <si>
    <t>kg/cycle</t>
  </si>
  <si>
    <t>N Excreted Per herd per Year Manitoba</t>
  </si>
  <si>
    <t>Protein Content of Milk</t>
  </si>
  <si>
    <t>(kg/place/cycle)</t>
  </si>
  <si>
    <t>(g)</t>
  </si>
  <si>
    <t>g/cycle</t>
  </si>
  <si>
    <t>Nitrogen Content per kg Gain</t>
  </si>
  <si>
    <t>Feed Consumed Per Pig Per Day</t>
  </si>
  <si>
    <t>Feed Consumed Per Pig per Cycle</t>
  </si>
  <si>
    <t>Nitrogen Consumed Per Place Per Cycle</t>
  </si>
  <si>
    <t>Feed Protein Consumed Per Place Per Day</t>
  </si>
  <si>
    <t>Feed Protein Consumed Per Place Per Cycle</t>
  </si>
  <si>
    <t>Feed Nitrogen Consumed Per Place Per Cycle</t>
  </si>
  <si>
    <t>Milk Protein Consumed Per Place Per Cycle</t>
  </si>
  <si>
    <t>Milk Nitrogen Consumed Per Place Per Cycle</t>
  </si>
  <si>
    <t>Total Nitrogen Retained Per Cycle</t>
  </si>
  <si>
    <t>(g/litter/cycle)</t>
  </si>
  <si>
    <t>Nursing Litter</t>
  </si>
  <si>
    <t>Milk Consumed Per Piglet Per Day</t>
  </si>
  <si>
    <t>Milk Consumed Per Litter Per Day</t>
  </si>
  <si>
    <t>(g/litter/day)</t>
  </si>
  <si>
    <t xml:space="preserve">Nitrogen Retained in Gain </t>
  </si>
  <si>
    <t>N Excreted Per Place per Year Manitoba</t>
  </si>
  <si>
    <t>Feed Phosphorus Consumed Per Place Per Day</t>
  </si>
  <si>
    <t>Milk P Consumed Per Litter Per Day</t>
  </si>
  <si>
    <t>Milk P Consumed Per Litter Per Cycle</t>
  </si>
  <si>
    <t>Phosphorus Content per kg Gain</t>
  </si>
  <si>
    <t>Phosphorus Retained in Gain</t>
  </si>
  <si>
    <t>Phosphorus Content of Milk</t>
  </si>
  <si>
    <t>Phosphorus Exported in Milk</t>
  </si>
  <si>
    <t>Phosphorus Retained per Place per Cycle</t>
  </si>
  <si>
    <t>Manitoba Phosphorus Retained as a Percent of Total P Consumed</t>
  </si>
  <si>
    <t>P2O5 Excreted Per Place per year MB</t>
  </si>
  <si>
    <t>P Excreted Per Place Per Day</t>
  </si>
  <si>
    <t>Live Cull Sow</t>
  </si>
  <si>
    <t>Sows, farrow to 6.2 kg</t>
  </si>
  <si>
    <t>Gilts (Purchased)</t>
  </si>
  <si>
    <t>Boars (Purchased)</t>
  </si>
  <si>
    <t>(Places)</t>
  </si>
  <si>
    <t>Bred Gilts</t>
  </si>
  <si>
    <t>Live Cull Sows</t>
  </si>
  <si>
    <t>Manitoba Total N Retained on Farm as a % of Total N Consumed</t>
  </si>
  <si>
    <t>Number of Cycles for the Place per Year</t>
  </si>
  <si>
    <t>N excreted kg/1000 kg live weight / Day</t>
  </si>
  <si>
    <t>P excreted kg/1000 kg live weight / Day</t>
  </si>
  <si>
    <t>100 sow herd</t>
  </si>
  <si>
    <t>100 adult dairy cows</t>
  </si>
  <si>
    <t>100 beef cattle</t>
  </si>
  <si>
    <t>100 ewes</t>
  </si>
  <si>
    <t>N Excreted Per Place Per Cycle</t>
  </si>
  <si>
    <t>Total Acreage</t>
  </si>
  <si>
    <t xml:space="preserve">Nutrient excretion, crop nutrient use and acres required for nitrogen (N) and phosphorus (P2O5) are summarized on tab 4.  </t>
  </si>
  <si>
    <t>Be sure all livestock species on your farm are represented in this table, not just the livestock in the proposed expansion.</t>
  </si>
  <si>
    <t>Feed P Consumed Per Place Per cycle</t>
  </si>
  <si>
    <t>P Excreted Per Place Per Cycle</t>
  </si>
  <si>
    <t>(kg/place/year)</t>
  </si>
  <si>
    <t>Unit Conversions</t>
  </si>
  <si>
    <t>Protein to N content</t>
  </si>
  <si>
    <t>*(13.2 x 2.375 x 0.89)/52 x 7.5</t>
  </si>
  <si>
    <t>*(13.2 x 2.375 x 0.89 x 0.972)/52 x 16.5</t>
  </si>
  <si>
    <t>See notes under cells in spreadsheet</t>
  </si>
  <si>
    <t>Acres in Hanover and La Broquerie</t>
  </si>
  <si>
    <t>Proportion in Hanover or La Broquerie</t>
  </si>
  <si>
    <t>Phosphorus Balance</t>
  </si>
  <si>
    <t>Total Acres</t>
  </si>
  <si>
    <t>Land Available</t>
  </si>
  <si>
    <t xml:space="preserve">Enter the number of acres that are in the RM's of Hanover or La Broquerie in cell H26.
Additional acres include acres for which crop removal or soil data is limited or unavailable. 
</t>
  </si>
  <si>
    <t>*Notes:</t>
  </si>
  <si>
    <t>Last revised December 18, 2017</t>
  </si>
  <si>
    <t>Decemeber 18, 2017 revision</t>
  </si>
  <si>
    <t>1 unit of P</t>
  </si>
  <si>
    <t>July 18, 2018 revision</t>
  </si>
  <si>
    <t>Added Hanover and La Broquerie as different calculation for land base to account for 1x removal for those lands only as per August 2016 policy</t>
  </si>
  <si>
    <t>Corrected pigs and beef tab to use this 'lookup table' for volatilization losses.  The calculations were correct.</t>
  </si>
  <si>
    <t>April 26, 2018 correction</t>
  </si>
  <si>
    <t>1a - Pigs</t>
  </si>
  <si>
    <t>1b - Beef</t>
  </si>
  <si>
    <t>Operation Name</t>
  </si>
  <si>
    <t>Operation Name:</t>
  </si>
  <si>
    <t>1c - Dairy</t>
  </si>
  <si>
    <t>1d -Sheep</t>
  </si>
  <si>
    <t>1e - Poultry</t>
  </si>
  <si>
    <t>2 - Crop Rotation</t>
  </si>
  <si>
    <t>3 - Farm Excretion</t>
  </si>
  <si>
    <t>4 - Land Base Summary</t>
  </si>
  <si>
    <t>Changes to title page: MAFRI to Manitoba Agriculture</t>
  </si>
  <si>
    <t>Acres for Nitrogen</t>
  </si>
  <si>
    <t xml:space="preserve">The land base required for nitrogen (N) and phosphorus (P2O5) are provided in the amber cells on tab 4.  </t>
  </si>
  <si>
    <t>Land Base Required</t>
  </si>
  <si>
    <t>Phosphorus (P2O5)</t>
  </si>
  <si>
    <t>Acres for Phosphorus Balance (1X)</t>
  </si>
  <si>
    <t>Changed P2O5 requirement to required</t>
  </si>
  <si>
    <t xml:space="preserve">Enter the operation name on all of the livestock tabs (1a to 1e) associated with your farm.  </t>
  </si>
  <si>
    <t>Acres for Phosphorus (P2O5)</t>
  </si>
  <si>
    <t>Operation Type</t>
  </si>
  <si>
    <t>Animal Category</t>
  </si>
  <si>
    <t>October 16, 2018 revision</t>
  </si>
  <si>
    <t>Individual livestock rows hidden as per FPGs</t>
  </si>
  <si>
    <t>Lactating First Calf Heifer</t>
  </si>
  <si>
    <t>Average Daily Milk Production</t>
  </si>
  <si>
    <t>Weight Gain per Cycle</t>
  </si>
  <si>
    <t>Dry Matter Feed Consumed Per Animal Per Day</t>
  </si>
  <si>
    <t>Dry Matter Feed Consumed Per Animal per Day</t>
  </si>
  <si>
    <t>Dry Matter Protein</t>
  </si>
  <si>
    <t>Total Nitrogen Consumed Per Place Per Cycle</t>
  </si>
  <si>
    <t>Nitrogen Retained per kg Gain</t>
  </si>
  <si>
    <t>Nitrogen Retained in Gain per Cycle</t>
  </si>
  <si>
    <t>Total N Retained per Cycle</t>
  </si>
  <si>
    <t>Phosphorus Consumed in Feed Per Place Per Day</t>
  </si>
  <si>
    <t>Phosphorus Consumed in Feed per Place Per Cycle</t>
  </si>
  <si>
    <t>Total Phosphorus Consumed Per Place Per cycle</t>
  </si>
  <si>
    <t>Dry Matter Content of Milk</t>
  </si>
  <si>
    <t>Dry Matter Milk Production</t>
  </si>
  <si>
    <t>Phosphorus Retained per Animal per Cycle</t>
  </si>
  <si>
    <t>(%)</t>
  </si>
  <si>
    <t>Lactating Mature Cows</t>
  </si>
  <si>
    <t>Notes</t>
  </si>
  <si>
    <t>November 22, 2018 revision</t>
  </si>
  <si>
    <t>Dairy - feed protein and P for MB used from R. Berry</t>
  </si>
  <si>
    <t>Last Revised October 18, 2019</t>
  </si>
  <si>
    <t>Clay Sawka, Nutrient Management Specialist, Manitoba Agriculture and Resource Development, (204) 750-3066</t>
  </si>
  <si>
    <t>Petra Loro, Livestock Environment Specialist, Manitoba Agriculture and Resource Development, (204) 918-0325</t>
  </si>
  <si>
    <t>Wt Gain kg</t>
  </si>
  <si>
    <t>Default Days on Feed</t>
  </si>
  <si>
    <t xml:space="preserve"> Days on Feed</t>
  </si>
  <si>
    <t>Default Cycles per Year</t>
  </si>
  <si>
    <t xml:space="preserve"> Cycles per Year</t>
  </si>
  <si>
    <t>Feed Consumed Per bird Per Cycle</t>
  </si>
  <si>
    <t>Feed Consumed Per bird Per Day</t>
  </si>
  <si>
    <t xml:space="preserve">Crude Protein Content of Feed </t>
  </si>
  <si>
    <t>Feed Protein Consumed Per Bird Place Per Cycle</t>
  </si>
  <si>
    <t>Number of Eggs per bird/cycle</t>
  </si>
  <si>
    <t xml:space="preserve">Nitrogen content of egg </t>
  </si>
  <si>
    <t>Nitrogen Retained in Eggs</t>
  </si>
  <si>
    <t>N Excreted Per flock per Year Manitoba</t>
  </si>
  <si>
    <t>Phosphorus Content of Feed (As Fed)</t>
  </si>
  <si>
    <t>Phosphorus in Egg</t>
  </si>
  <si>
    <t>Phosphorus Retained in Eggs</t>
  </si>
  <si>
    <t>P Excreted Per 1000 kg Animal per Day</t>
  </si>
  <si>
    <t>P2O5 Excreted Per Place per cycle MB</t>
  </si>
  <si>
    <t>P2O5 Excreted Per Flock Per Year</t>
  </si>
  <si>
    <t>(% As Fed)</t>
  </si>
  <si>
    <t>(g/egg)</t>
  </si>
  <si>
    <t>ASAE</t>
  </si>
  <si>
    <t>kg/flock/yr</t>
  </si>
  <si>
    <t>Light Broilers</t>
  </si>
  <si>
    <t>White Layer Pullets</t>
  </si>
  <si>
    <t>White Layer Hens</t>
  </si>
  <si>
    <t>White Breeder Pullets</t>
  </si>
  <si>
    <t>White Breeder Hens</t>
  </si>
  <si>
    <t xml:space="preserve">Brown Layer Pullets </t>
  </si>
  <si>
    <t>Brown Layer Hens</t>
  </si>
  <si>
    <t>Brown Breeder Pullets</t>
  </si>
  <si>
    <t>Brown Breeder Hens</t>
  </si>
  <si>
    <t>Broiler Turkey (0-9 wks)</t>
  </si>
  <si>
    <t>Hen Turkey (0-11 wks)</t>
  </si>
  <si>
    <t>Toms (0-14 wks)</t>
  </si>
  <si>
    <t>Breeding Hens (31-End of Lay)</t>
  </si>
  <si>
    <t>Breeding Tom Grower (0-17 wks)</t>
  </si>
  <si>
    <t>Breeding Tom Grower (17-30 wks)</t>
  </si>
  <si>
    <t>Breeding Tom (31-End of Lay)</t>
  </si>
  <si>
    <t>Last Revised November 26, 2019</t>
  </si>
  <si>
    <t>November 20, 2019 revision</t>
  </si>
  <si>
    <t>November 26, 2019 revision</t>
  </si>
  <si>
    <t>Fully reviewed by Poultry Specialist and 4 nutritionists from industry</t>
  </si>
  <si>
    <t>Manitoba Land Base Calculator</t>
  </si>
  <si>
    <t>Last revised November 26, 2019</t>
  </si>
  <si>
    <t>Added new poultry categories had to adjust 3-Farm Excretion to pull right cells</t>
  </si>
  <si>
    <t>Weanlings/Nursery</t>
  </si>
  <si>
    <t>Average Crop N Uptake</t>
  </si>
  <si>
    <t>Average Crop Phosphorus (P2O5) Removal</t>
  </si>
  <si>
    <t>Note:  For lands located in Hanover and/or La Broquerie, the acres required for phosphorus are based on phosphorus balance (1X).  For other lands, the acres required for phosphorus are based on twice crop phosphorus removal (2X).  Land requirements for operations with lands inside and outside Hanover and/or La Broquerie are based on a weighted average.</t>
  </si>
  <si>
    <t>In-barn losses only</t>
  </si>
  <si>
    <t>Solid Manure Shed</t>
  </si>
  <si>
    <t>In-Barn Losses Only</t>
  </si>
  <si>
    <t>Manure Pack (No Field Storage)</t>
  </si>
  <si>
    <t>Corrected Land Base Summary to account for new poultry categories</t>
  </si>
  <si>
    <t>Combined/deleted some storage types (i.e. deleted stockpile because field storage is included)</t>
  </si>
  <si>
    <t>10% in barn + 10% storage, adjusted</t>
  </si>
  <si>
    <t>In-barn losses only, new</t>
  </si>
  <si>
    <t>Solid poultry storages, new</t>
  </si>
  <si>
    <t>Stockpile removed</t>
  </si>
  <si>
    <t>Revised wording for clarity</t>
  </si>
  <si>
    <t>Unit of P2O5</t>
  </si>
  <si>
    <t>Added farm name and tab title to each page</t>
  </si>
  <si>
    <t>Storage Volatilization Losses revised, see notes above</t>
  </si>
  <si>
    <t>Pigs - full review and change of N and P retained per kg of gain and P content in sow milk, comprehensive literature review Bikker and Blok (2017)</t>
  </si>
  <si>
    <t>December 2019 revision</t>
  </si>
  <si>
    <t>N and P excretion data standardized for decimal places and significant digits - beef, dairy, pigs, poultry</t>
  </si>
  <si>
    <t>Typos corrected (Look Up Table)</t>
  </si>
  <si>
    <t>Look Up Table renamed to "Notes and Look Up"</t>
  </si>
  <si>
    <t>Added solid manure shed to storage types for volatilization losses</t>
  </si>
  <si>
    <t>Name change from Manitoba Agriculture Land Base Calculator to Manitoba Land Base Calculator</t>
  </si>
  <si>
    <t>Corrected Farm Excretion Tab error in which cells it was copying</t>
  </si>
  <si>
    <t>Poultry tab revised by Clay Sawka, Petra Loro, Brian Wiebe, Amy Johnston, industry nutritionists, industry specialists</t>
  </si>
  <si>
    <t>Poultry - Brand new poultry tab, new categories of bird and full literature review for N and P Retention</t>
  </si>
  <si>
    <t>Production values based on specialists knowledge, industry records, literature values</t>
  </si>
  <si>
    <t>Default animal numbers</t>
  </si>
  <si>
    <t>Dairy - 2014 revision reviewed by R. Berry</t>
  </si>
  <si>
    <t>Dairy - new category for first calf heifer added and adjusted herd of 100 breakdown to include new category</t>
  </si>
  <si>
    <t>Brief revision history</t>
  </si>
  <si>
    <t>Revisions following October 11, 2018 interdepartmental meeting</t>
  </si>
  <si>
    <t>Dairy Revision - pre 2018</t>
  </si>
  <si>
    <t>Dairy - (revision completed pre 2018 but not posted) model based on nutrient retention of cattle, N and P per kg of gain, based on literature review</t>
  </si>
  <si>
    <t>History expanded for Director's review (chronological orderfor dairy, typos, significant digits etc)</t>
  </si>
  <si>
    <t>*4 lighter gilt places added Feb 12 2020</t>
  </si>
  <si>
    <t>4 lighter gilt places added to sow operations</t>
  </si>
  <si>
    <t>Phosphorus Retained in Gain per Cycle</t>
  </si>
  <si>
    <t>N Retained in Milk</t>
  </si>
  <si>
    <t>Protein Retained in Milk</t>
  </si>
  <si>
    <t>Nitrogen Retained in Milk</t>
  </si>
  <si>
    <t>Phosphorus Retained in Milk per Day</t>
  </si>
  <si>
    <t>Phosphorus Retained in Milk per Cycle</t>
  </si>
  <si>
    <t>Operation-specific Phosphorus (P2O5) Allowance</t>
  </si>
  <si>
    <t>editing of hidden headers for clarity</t>
  </si>
  <si>
    <t>entry weight of light gilts is end weight of grower-finisher</t>
  </si>
  <si>
    <t>Last Revised February 12, 2020</t>
  </si>
  <si>
    <t>February 4, 2020 revision</t>
  </si>
  <si>
    <t>February 12, 2020 revision</t>
  </si>
  <si>
    <t>Weight in</t>
  </si>
  <si>
    <t>Weight out</t>
  </si>
  <si>
    <t>Instructional comment added to Gilts (Purchased) on the Pig tab</t>
  </si>
  <si>
    <t>February 19, 2020 revision</t>
  </si>
  <si>
    <t>Unger Poultry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</si>
</sst>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0.0000"/>
    <numFmt numFmtId="168" formatCode="0.00000"/>
  </numFmts>
  <fonts count="14" x14ac:knownFonts="1">
    <font>
      <sz val="11"/>
      <color theme="1"/>
      <name val="Calibri"/>
      <family val="2"/>
      <scheme val="minor"/>
    </font>
    <font>
      <sz val="11"/>
      <color theme="1"/>
      <name val="Calibri"/>
      <family val="2"/>
      <scheme val="minor"/>
    </font>
    <font>
      <sz val="10"/>
      <color theme="1"/>
      <name val="Arial"/>
      <family val="2"/>
    </font>
    <font>
      <sz val="10"/>
      <name val="Arial"/>
      <family val="2"/>
    </font>
    <font>
      <b/>
      <sz val="9"/>
      <color indexed="81"/>
      <name val="Tahoma"/>
      <family val="2"/>
    </font>
    <font>
      <sz val="10"/>
      <color rgb="FFFF0000"/>
      <name val="Arial"/>
      <family val="2"/>
    </font>
    <font>
      <sz val="9"/>
      <color indexed="81"/>
      <name val="Tahoma"/>
      <family val="2"/>
    </font>
    <font>
      <b/>
      <sz val="10"/>
      <color theme="1"/>
      <name val="Arial"/>
      <family val="2"/>
    </font>
    <font>
      <b/>
      <sz val="11"/>
      <color theme="1"/>
      <name val="Calibri"/>
      <family val="2"/>
      <scheme val="minor"/>
    </font>
    <font>
      <b/>
      <sz val="10"/>
      <name val="Arial"/>
      <family val="2"/>
    </font>
    <font>
      <sz val="11"/>
      <name val="Calibri"/>
      <family val="2"/>
      <scheme val="minor"/>
    </font>
    <font>
      <b/>
      <sz val="10"/>
      <color rgb="FFFF0000"/>
      <name val="Arial"/>
      <family val="2"/>
    </font>
    <font>
      <u/>
      <sz val="9"/>
      <color indexed="81"/>
      <name val="Tahoma"/>
      <family val="2"/>
    </font>
    <font>
      <sz val="11"/>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FF00FF"/>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505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97">
    <xf numFmtId="0" fontId="0" fillId="0" borderId="0" xfId="0"/>
    <xf numFmtId="2" fontId="2" fillId="0" borderId="0" xfId="0" applyNumberFormat="1" applyFont="1" applyAlignment="1">
      <alignment horizontal="center"/>
    </xf>
    <xf numFmtId="0" fontId="2" fillId="0" borderId="0" xfId="0" applyFont="1" applyAlignment="1">
      <alignment horizontal="center"/>
    </xf>
    <xf numFmtId="0" fontId="2" fillId="0" borderId="0" xfId="0" applyFont="1"/>
    <xf numFmtId="0" fontId="2" fillId="2" borderId="0" xfId="0" applyFont="1" applyFill="1" applyAlignment="1">
      <alignment horizontal="center"/>
    </xf>
    <xf numFmtId="1" fontId="2" fillId="0" borderId="0" xfId="0" applyNumberFormat="1" applyFont="1" applyAlignment="1">
      <alignment horizontal="center"/>
    </xf>
    <xf numFmtId="2" fontId="2" fillId="0" borderId="0" xfId="0" applyNumberFormat="1" applyFont="1"/>
    <xf numFmtId="0" fontId="2" fillId="0" borderId="0" xfId="0" applyFont="1" applyAlignment="1">
      <alignment horizontal="center" wrapText="1"/>
    </xf>
    <xf numFmtId="1" fontId="3" fillId="4" borderId="0" xfId="0" applyNumberFormat="1" applyFont="1" applyFill="1" applyAlignment="1">
      <alignment horizontal="center"/>
    </xf>
    <xf numFmtId="166" fontId="2" fillId="0" borderId="0" xfId="0" applyNumberFormat="1" applyFont="1" applyAlignment="1">
      <alignment horizontal="center"/>
    </xf>
    <xf numFmtId="0" fontId="3" fillId="0" borderId="0" xfId="0" applyFont="1" applyAlignment="1">
      <alignment horizontal="center"/>
    </xf>
    <xf numFmtId="0" fontId="0" fillId="2" borderId="0" xfId="0" applyFill="1"/>
    <xf numFmtId="0" fontId="0" fillId="0" borderId="1" xfId="0" applyBorder="1"/>
    <xf numFmtId="0" fontId="0" fillId="0" borderId="0" xfId="0" applyAlignment="1">
      <alignment horizontal="right"/>
    </xf>
    <xf numFmtId="2" fontId="2" fillId="5" borderId="0" xfId="0" applyNumberFormat="1" applyFont="1" applyFill="1" applyAlignment="1">
      <alignment horizontal="center"/>
    </xf>
    <xf numFmtId="0" fontId="2" fillId="6" borderId="0" xfId="0" applyFont="1" applyFill="1" applyAlignment="1">
      <alignment horizontal="center"/>
    </xf>
    <xf numFmtId="2" fontId="2" fillId="6" borderId="0" xfId="0" applyNumberFormat="1" applyFont="1" applyFill="1" applyAlignment="1">
      <alignment horizontal="center"/>
    </xf>
    <xf numFmtId="0" fontId="0" fillId="0" borderId="3" xfId="0" applyBorder="1"/>
    <xf numFmtId="0" fontId="7" fillId="0" borderId="0" xfId="0" applyFont="1" applyAlignment="1">
      <alignment horizontal="center" wrapText="1"/>
    </xf>
    <xf numFmtId="0" fontId="7" fillId="2" borderId="2" xfId="0" applyFont="1" applyFill="1" applyBorder="1" applyAlignment="1">
      <alignment horizontal="center" wrapText="1"/>
    </xf>
    <xf numFmtId="0" fontId="7" fillId="4" borderId="2" xfId="0" applyFont="1" applyFill="1" applyBorder="1" applyAlignment="1">
      <alignment horizontal="center" wrapText="1"/>
    </xf>
    <xf numFmtId="0" fontId="7" fillId="6" borderId="2" xfId="0" applyFont="1" applyFill="1" applyBorder="1" applyAlignment="1">
      <alignment horizontal="center" wrapText="1"/>
    </xf>
    <xf numFmtId="0" fontId="9" fillId="4" borderId="5" xfId="0" applyFont="1" applyFill="1" applyBorder="1" applyAlignment="1">
      <alignment horizontal="center" wrapText="1"/>
    </xf>
    <xf numFmtId="0" fontId="2" fillId="2" borderId="9" xfId="0" applyFont="1" applyFill="1" applyBorder="1" applyAlignment="1">
      <alignment horizontal="center"/>
    </xf>
    <xf numFmtId="0" fontId="2" fillId="6" borderId="9" xfId="0" applyFont="1" applyFill="1" applyBorder="1" applyAlignment="1">
      <alignment horizontal="center"/>
    </xf>
    <xf numFmtId="0" fontId="2" fillId="2" borderId="9" xfId="0" applyFont="1" applyFill="1" applyBorder="1" applyAlignment="1">
      <alignment horizontal="center" wrapText="1"/>
    </xf>
    <xf numFmtId="0" fontId="2" fillId="4" borderId="9" xfId="0" applyFont="1" applyFill="1" applyBorder="1" applyAlignment="1">
      <alignment horizontal="center" wrapText="1"/>
    </xf>
    <xf numFmtId="0" fontId="2" fillId="6" borderId="9" xfId="0" applyFont="1" applyFill="1" applyBorder="1" applyAlignment="1">
      <alignment horizontal="center" wrapText="1"/>
    </xf>
    <xf numFmtId="0" fontId="2" fillId="4" borderId="10" xfId="0" applyFont="1" applyFill="1" applyBorder="1" applyAlignment="1">
      <alignment horizontal="center" wrapText="1"/>
    </xf>
    <xf numFmtId="0" fontId="7" fillId="6" borderId="4" xfId="0" applyFont="1" applyFill="1" applyBorder="1" applyAlignment="1">
      <alignment horizontal="center" wrapText="1"/>
    </xf>
    <xf numFmtId="0" fontId="2" fillId="6" borderId="8" xfId="0" applyFont="1" applyFill="1" applyBorder="1" applyAlignment="1">
      <alignment horizontal="center" wrapText="1"/>
    </xf>
    <xf numFmtId="0" fontId="2" fillId="5" borderId="9" xfId="0" applyFont="1" applyFill="1" applyBorder="1" applyAlignment="1">
      <alignment horizontal="center"/>
    </xf>
    <xf numFmtId="0" fontId="3" fillId="5" borderId="9" xfId="0" applyFont="1" applyFill="1" applyBorder="1" applyAlignment="1">
      <alignment horizontal="center" wrapText="1"/>
    </xf>
    <xf numFmtId="0" fontId="7" fillId="5" borderId="2" xfId="0" applyFont="1" applyFill="1" applyBorder="1" applyAlignment="1">
      <alignment horizontal="center" wrapText="1"/>
    </xf>
    <xf numFmtId="0" fontId="9" fillId="5" borderId="2" xfId="0" applyFont="1" applyFill="1" applyBorder="1" applyAlignment="1">
      <alignment horizontal="center" wrapText="1"/>
    </xf>
    <xf numFmtId="1" fontId="2" fillId="4" borderId="7" xfId="0" applyNumberFormat="1" applyFont="1" applyFill="1" applyBorder="1" applyAlignment="1">
      <alignment horizontal="center"/>
    </xf>
    <xf numFmtId="1" fontId="2" fillId="4" borderId="10" xfId="0" applyNumberFormat="1" applyFont="1" applyFill="1" applyBorder="1" applyAlignment="1">
      <alignment horizontal="center"/>
    </xf>
    <xf numFmtId="9" fontId="2" fillId="4" borderId="0" xfId="1" applyFont="1" applyFill="1" applyBorder="1" applyAlignment="1">
      <alignment horizontal="center"/>
    </xf>
    <xf numFmtId="9" fontId="2" fillId="4" borderId="9" xfId="1" applyFont="1" applyFill="1" applyBorder="1" applyAlignment="1">
      <alignment horizontal="center"/>
    </xf>
    <xf numFmtId="0" fontId="3" fillId="6" borderId="0" xfId="0" applyFont="1" applyFill="1" applyAlignment="1">
      <alignment horizontal="center"/>
    </xf>
    <xf numFmtId="9" fontId="2" fillId="5" borderId="0" xfId="1" applyFont="1" applyFill="1" applyBorder="1" applyAlignment="1">
      <alignment horizontal="center"/>
    </xf>
    <xf numFmtId="1" fontId="3" fillId="4" borderId="9" xfId="0" applyNumberFormat="1" applyFont="1" applyFill="1" applyBorder="1" applyAlignment="1">
      <alignment horizontal="center"/>
    </xf>
    <xf numFmtId="2" fontId="3" fillId="5" borderId="0" xfId="0" applyNumberFormat="1" applyFont="1" applyFill="1" applyAlignment="1">
      <alignment horizontal="center"/>
    </xf>
    <xf numFmtId="1" fontId="7" fillId="6" borderId="2" xfId="0" applyNumberFormat="1" applyFont="1" applyFill="1" applyBorder="1" applyAlignment="1">
      <alignment horizontal="center" wrapText="1"/>
    </xf>
    <xf numFmtId="1" fontId="7" fillId="4" borderId="2" xfId="0" applyNumberFormat="1" applyFont="1" applyFill="1" applyBorder="1" applyAlignment="1">
      <alignment horizontal="center" wrapText="1"/>
    </xf>
    <xf numFmtId="166" fontId="7" fillId="6" borderId="2" xfId="0" applyNumberFormat="1" applyFont="1" applyFill="1" applyBorder="1" applyAlignment="1">
      <alignment horizontal="center" wrapText="1"/>
    </xf>
    <xf numFmtId="0" fontId="9" fillId="6" borderId="2" xfId="0" applyFont="1" applyFill="1" applyBorder="1" applyAlignment="1">
      <alignment horizontal="center" wrapText="1"/>
    </xf>
    <xf numFmtId="166" fontId="7" fillId="0" borderId="0" xfId="0" applyNumberFormat="1" applyFont="1" applyAlignment="1">
      <alignment horizontal="center" wrapText="1"/>
    </xf>
    <xf numFmtId="1" fontId="2" fillId="6" borderId="9" xfId="0" applyNumberFormat="1" applyFont="1" applyFill="1" applyBorder="1" applyAlignment="1">
      <alignment horizontal="center" wrapText="1"/>
    </xf>
    <xf numFmtId="1" fontId="2" fillId="4" borderId="9" xfId="0" applyNumberFormat="1" applyFont="1" applyFill="1" applyBorder="1" applyAlignment="1">
      <alignment horizontal="center" wrapText="1"/>
    </xf>
    <xf numFmtId="166" fontId="2" fillId="6" borderId="9" xfId="0" applyNumberFormat="1" applyFont="1" applyFill="1" applyBorder="1" applyAlignment="1">
      <alignment horizontal="center" wrapText="1"/>
    </xf>
    <xf numFmtId="0" fontId="3" fillId="6" borderId="9" xfId="0" applyFont="1" applyFill="1" applyBorder="1" applyAlignment="1">
      <alignment horizontal="center" wrapText="1"/>
    </xf>
    <xf numFmtId="0" fontId="3" fillId="4" borderId="10" xfId="0" applyFont="1" applyFill="1" applyBorder="1" applyAlignment="1">
      <alignment horizontal="center" wrapText="1"/>
    </xf>
    <xf numFmtId="166" fontId="2" fillId="0" borderId="0" xfId="0" applyNumberFormat="1" applyFont="1" applyAlignment="1">
      <alignment horizontal="center" wrapText="1"/>
    </xf>
    <xf numFmtId="0" fontId="2" fillId="0" borderId="0" xfId="0" applyFont="1" applyProtection="1">
      <protection locked="0"/>
    </xf>
    <xf numFmtId="166" fontId="2" fillId="0" borderId="0" xfId="0" applyNumberFormat="1" applyFont="1"/>
    <xf numFmtId="0" fontId="3" fillId="4" borderId="9" xfId="0" applyFont="1" applyFill="1" applyBorder="1" applyAlignment="1">
      <alignment horizontal="center" wrapText="1"/>
    </xf>
    <xf numFmtId="0" fontId="3" fillId="2" borderId="0" xfId="0" applyFont="1" applyFill="1" applyAlignment="1">
      <alignment horizontal="center"/>
    </xf>
    <xf numFmtId="0" fontId="5" fillId="2" borderId="0" xfId="0" applyFont="1" applyFill="1" applyAlignment="1">
      <alignment horizontal="left"/>
    </xf>
    <xf numFmtId="0" fontId="5" fillId="2" borderId="9" xfId="0" applyFont="1" applyFill="1" applyBorder="1" applyAlignment="1">
      <alignment horizontal="left"/>
    </xf>
    <xf numFmtId="0" fontId="2" fillId="6" borderId="6" xfId="0" applyFont="1" applyFill="1" applyBorder="1" applyAlignment="1">
      <alignment horizontal="center"/>
    </xf>
    <xf numFmtId="0" fontId="2" fillId="6" borderId="8" xfId="0" applyFont="1" applyFill="1" applyBorder="1" applyAlignment="1">
      <alignment horizontal="center"/>
    </xf>
    <xf numFmtId="0" fontId="8" fillId="2" borderId="0" xfId="0" applyFont="1" applyFill="1"/>
    <xf numFmtId="0" fontId="8" fillId="6" borderId="0" xfId="0" applyFont="1" applyFill="1"/>
    <xf numFmtId="0" fontId="0" fillId="6" borderId="0" xfId="0" applyFill="1"/>
    <xf numFmtId="1" fontId="0" fillId="4" borderId="0" xfId="0" applyNumberFormat="1" applyFill="1" applyAlignment="1">
      <alignment horizontal="center"/>
    </xf>
    <xf numFmtId="0" fontId="0" fillId="4" borderId="0" xfId="0" applyFill="1" applyAlignment="1">
      <alignment horizontal="center"/>
    </xf>
    <xf numFmtId="0" fontId="0" fillId="2" borderId="0" xfId="0" applyFill="1" applyAlignment="1">
      <alignment horizontal="center"/>
    </xf>
    <xf numFmtId="0" fontId="0" fillId="6" borderId="0" xfId="0" applyFill="1" applyAlignment="1">
      <alignment horizontal="center"/>
    </xf>
    <xf numFmtId="0" fontId="0" fillId="6" borderId="0" xfId="0" applyFill="1" applyAlignment="1">
      <alignment horizontal="left"/>
    </xf>
    <xf numFmtId="0" fontId="8" fillId="6" borderId="0" xfId="0" applyFont="1" applyFill="1" applyAlignment="1">
      <alignment horizontal="center"/>
    </xf>
    <xf numFmtId="0" fontId="8" fillId="6" borderId="0" xfId="0" applyFont="1" applyFill="1" applyAlignment="1">
      <alignment horizontal="left"/>
    </xf>
    <xf numFmtId="0" fontId="8" fillId="2" borderId="0" xfId="0" applyFont="1" applyFill="1" applyAlignment="1">
      <alignment horizontal="center"/>
    </xf>
    <xf numFmtId="0" fontId="8" fillId="6" borderId="4" xfId="0" applyFont="1" applyFill="1" applyBorder="1"/>
    <xf numFmtId="0" fontId="8" fillId="6" borderId="2" xfId="0" applyFont="1" applyFill="1" applyBorder="1" applyAlignment="1">
      <alignment horizontal="center"/>
    </xf>
    <xf numFmtId="0" fontId="8" fillId="2" borderId="2" xfId="0" applyFont="1" applyFill="1" applyBorder="1"/>
    <xf numFmtId="0" fontId="8" fillId="6" borderId="2" xfId="0" applyFont="1" applyFill="1" applyBorder="1"/>
    <xf numFmtId="0" fontId="8" fillId="6" borderId="8" xfId="0" applyFont="1" applyFill="1" applyBorder="1"/>
    <xf numFmtId="0" fontId="8" fillId="6" borderId="9" xfId="0" applyFont="1" applyFill="1" applyBorder="1"/>
    <xf numFmtId="0" fontId="0" fillId="6" borderId="6" xfId="0" applyFill="1" applyBorder="1"/>
    <xf numFmtId="0" fontId="0" fillId="6" borderId="8" xfId="0" applyFill="1" applyBorder="1"/>
    <xf numFmtId="0" fontId="0" fillId="6" borderId="9" xfId="0" applyFill="1" applyBorder="1" applyAlignment="1">
      <alignment horizontal="center"/>
    </xf>
    <xf numFmtId="0" fontId="0" fillId="6" borderId="9" xfId="0" applyFill="1" applyBorder="1"/>
    <xf numFmtId="0" fontId="0" fillId="2" borderId="9" xfId="0" applyFill="1" applyBorder="1" applyAlignment="1">
      <alignment horizontal="center"/>
    </xf>
    <xf numFmtId="0" fontId="8" fillId="4" borderId="9" xfId="0" applyFont="1" applyFill="1" applyBorder="1" applyAlignment="1">
      <alignment horizontal="center"/>
    </xf>
    <xf numFmtId="0" fontId="8" fillId="4" borderId="10" xfId="0" applyFont="1" applyFill="1" applyBorder="1" applyAlignment="1">
      <alignment horizontal="center"/>
    </xf>
    <xf numFmtId="1" fontId="0" fillId="4" borderId="7" xfId="0" applyNumberFormat="1" applyFill="1" applyBorder="1" applyAlignment="1">
      <alignment horizontal="center"/>
    </xf>
    <xf numFmtId="0" fontId="8" fillId="4" borderId="5" xfId="0" applyFont="1" applyFill="1" applyBorder="1"/>
    <xf numFmtId="0" fontId="8" fillId="4" borderId="0" xfId="0" applyFont="1" applyFill="1" applyAlignment="1">
      <alignment horizontal="center"/>
    </xf>
    <xf numFmtId="0" fontId="8" fillId="6" borderId="6" xfId="0" applyFont="1" applyFill="1" applyBorder="1"/>
    <xf numFmtId="0" fontId="8" fillId="4" borderId="7" xfId="0" applyFont="1" applyFill="1" applyBorder="1" applyAlignment="1">
      <alignment horizontal="center"/>
    </xf>
    <xf numFmtId="0" fontId="0" fillId="6" borderId="9" xfId="0" applyFill="1" applyBorder="1" applyAlignment="1">
      <alignment horizontal="right"/>
    </xf>
    <xf numFmtId="0" fontId="0" fillId="2" borderId="9" xfId="0" applyFill="1" applyBorder="1"/>
    <xf numFmtId="0" fontId="0" fillId="4" borderId="9" xfId="0" applyFill="1" applyBorder="1" applyAlignment="1">
      <alignment horizontal="center"/>
    </xf>
    <xf numFmtId="0" fontId="0" fillId="4" borderId="10" xfId="0" applyFill="1" applyBorder="1" applyAlignment="1">
      <alignment horizontal="center"/>
    </xf>
    <xf numFmtId="0" fontId="0" fillId="6" borderId="2" xfId="0" applyFill="1" applyBorder="1" applyAlignment="1">
      <alignment horizontal="left"/>
    </xf>
    <xf numFmtId="0" fontId="8" fillId="6" borderId="0" xfId="0" applyFont="1" applyFill="1" applyAlignment="1">
      <alignment horizontal="right"/>
    </xf>
    <xf numFmtId="0" fontId="8" fillId="5" borderId="7" xfId="0" applyFont="1" applyFill="1" applyBorder="1" applyAlignment="1">
      <alignment horizontal="center"/>
    </xf>
    <xf numFmtId="0" fontId="8" fillId="4" borderId="5" xfId="0" applyFont="1" applyFill="1" applyBorder="1" applyAlignment="1">
      <alignment horizontal="center"/>
    </xf>
    <xf numFmtId="1" fontId="8" fillId="7" borderId="7" xfId="0" applyNumberFormat="1" applyFont="1" applyFill="1" applyBorder="1" applyAlignment="1">
      <alignment horizontal="center"/>
    </xf>
    <xf numFmtId="1" fontId="8" fillId="7" borderId="10" xfId="0" applyNumberFormat="1" applyFont="1" applyFill="1" applyBorder="1" applyAlignment="1">
      <alignment horizontal="center"/>
    </xf>
    <xf numFmtId="166" fontId="0" fillId="4" borderId="7" xfId="0" applyNumberFormat="1" applyFill="1" applyBorder="1" applyAlignment="1">
      <alignment horizontal="center"/>
    </xf>
    <xf numFmtId="0" fontId="9" fillId="4" borderId="2" xfId="0" applyFont="1" applyFill="1" applyBorder="1" applyAlignment="1">
      <alignment horizontal="center" wrapText="1"/>
    </xf>
    <xf numFmtId="0" fontId="7" fillId="4" borderId="5" xfId="0" applyFont="1" applyFill="1" applyBorder="1" applyAlignment="1">
      <alignment horizontal="center" wrapText="1"/>
    </xf>
    <xf numFmtId="0" fontId="8" fillId="0" borderId="0" xfId="0" applyFont="1"/>
    <xf numFmtId="166" fontId="8" fillId="5" borderId="7" xfId="0" applyNumberFormat="1" applyFont="1" applyFill="1" applyBorder="1" applyAlignment="1">
      <alignment horizontal="center"/>
    </xf>
    <xf numFmtId="0" fontId="0" fillId="6" borderId="6" xfId="0" applyFill="1" applyBorder="1" applyAlignment="1">
      <alignment horizontal="left"/>
    </xf>
    <xf numFmtId="0" fontId="8" fillId="5" borderId="6" xfId="0" applyFont="1" applyFill="1" applyBorder="1" applyAlignment="1">
      <alignment horizontal="left"/>
    </xf>
    <xf numFmtId="0" fontId="8" fillId="5" borderId="4" xfId="0" applyFont="1" applyFill="1" applyBorder="1" applyAlignment="1">
      <alignment horizontal="left"/>
    </xf>
    <xf numFmtId="0" fontId="8" fillId="5" borderId="5" xfId="0" applyFont="1" applyFill="1" applyBorder="1" applyAlignment="1">
      <alignment horizontal="center"/>
    </xf>
    <xf numFmtId="0" fontId="0" fillId="7" borderId="0" xfId="0" applyFill="1"/>
    <xf numFmtId="0" fontId="0" fillId="4" borderId="0" xfId="0" applyFill="1"/>
    <xf numFmtId="0" fontId="0" fillId="0" borderId="6" xfId="0" applyBorder="1" applyAlignment="1">
      <alignment horizontal="left"/>
    </xf>
    <xf numFmtId="1" fontId="0" fillId="0" borderId="7" xfId="0" applyNumberFormat="1" applyBorder="1" applyAlignment="1">
      <alignment horizontal="center"/>
    </xf>
    <xf numFmtId="166" fontId="0" fillId="0" borderId="7" xfId="0" applyNumberFormat="1" applyBorder="1" applyAlignment="1">
      <alignment horizontal="center"/>
    </xf>
    <xf numFmtId="166" fontId="0" fillId="4" borderId="0" xfId="0" applyNumberFormat="1" applyFill="1" applyAlignment="1">
      <alignment horizontal="center"/>
    </xf>
    <xf numFmtId="0" fontId="8" fillId="8" borderId="0" xfId="0" applyFont="1" applyFill="1" applyAlignment="1">
      <alignment horizontal="center" vertical="center"/>
    </xf>
    <xf numFmtId="1" fontId="0" fillId="6" borderId="0" xfId="0" applyNumberFormat="1" applyFill="1" applyAlignment="1">
      <alignment horizontal="center"/>
    </xf>
    <xf numFmtId="0" fontId="0" fillId="6" borderId="0" xfId="0" applyFill="1" applyAlignment="1">
      <alignment horizontal="right"/>
    </xf>
    <xf numFmtId="0" fontId="8" fillId="4" borderId="2" xfId="0" applyFont="1" applyFill="1" applyBorder="1" applyAlignment="1">
      <alignment horizontal="center"/>
    </xf>
    <xf numFmtId="0" fontId="5" fillId="2" borderId="0" xfId="0" applyFont="1" applyFill="1" applyAlignment="1" applyProtection="1">
      <alignment horizontal="center" vertical="center"/>
      <protection locked="0"/>
    </xf>
    <xf numFmtId="2" fontId="2" fillId="5" borderId="0" xfId="0" applyNumberFormat="1" applyFont="1" applyFill="1" applyAlignment="1">
      <alignment horizontal="center" vertical="center"/>
    </xf>
    <xf numFmtId="0" fontId="2" fillId="5" borderId="0" xfId="0" applyFont="1" applyFill="1" applyAlignment="1">
      <alignment horizontal="center" vertical="center"/>
    </xf>
    <xf numFmtId="0" fontId="2" fillId="0" borderId="0" xfId="0" applyFont="1" applyAlignment="1">
      <alignment vertical="center"/>
    </xf>
    <xf numFmtId="0" fontId="7" fillId="0" borderId="0" xfId="0" applyFont="1"/>
    <xf numFmtId="1" fontId="3" fillId="5" borderId="0" xfId="1" applyNumberFormat="1" applyFont="1" applyFill="1" applyBorder="1" applyAlignment="1">
      <alignment horizontal="center" vertical="center"/>
    </xf>
    <xf numFmtId="1" fontId="2" fillId="5" borderId="0" xfId="1" applyNumberFormat="1" applyFont="1" applyFill="1" applyBorder="1" applyAlignment="1">
      <alignment horizontal="center" vertical="center"/>
    </xf>
    <xf numFmtId="0" fontId="2" fillId="6" borderId="6" xfId="0" applyFont="1" applyFill="1" applyBorder="1" applyAlignment="1">
      <alignment vertical="center"/>
    </xf>
    <xf numFmtId="0" fontId="2" fillId="6" borderId="0" xfId="0" applyFont="1" applyFill="1" applyAlignment="1">
      <alignment horizontal="left" vertical="center" wrapText="1"/>
    </xf>
    <xf numFmtId="0" fontId="2" fillId="2" borderId="0" xfId="0" applyFont="1" applyFill="1" applyAlignment="1">
      <alignment horizontal="center" vertical="center"/>
    </xf>
    <xf numFmtId="0" fontId="2" fillId="4" borderId="0" xfId="0" applyFont="1" applyFill="1" applyAlignment="1">
      <alignment horizontal="center" vertical="center"/>
    </xf>
    <xf numFmtId="1" fontId="2" fillId="5" borderId="0" xfId="0" applyNumberFormat="1" applyFont="1" applyFill="1" applyAlignment="1">
      <alignment horizontal="center" vertical="center"/>
    </xf>
    <xf numFmtId="166" fontId="2" fillId="2" borderId="0" xfId="0" applyNumberFormat="1" applyFont="1" applyFill="1" applyAlignment="1">
      <alignment horizontal="center" vertical="center"/>
    </xf>
    <xf numFmtId="2" fontId="5" fillId="5" borderId="0" xfId="0" applyNumberFormat="1" applyFont="1" applyFill="1" applyAlignment="1">
      <alignment horizontal="center" vertical="center"/>
    </xf>
    <xf numFmtId="166" fontId="2" fillId="5" borderId="0" xfId="0" applyNumberFormat="1" applyFont="1" applyFill="1" applyAlignment="1">
      <alignment horizontal="center" vertical="center"/>
    </xf>
    <xf numFmtId="1" fontId="2" fillId="5" borderId="9"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6" borderId="0" xfId="0" applyFont="1" applyFill="1" applyAlignment="1">
      <alignment vertical="center"/>
    </xf>
    <xf numFmtId="9" fontId="2" fillId="4" borderId="0" xfId="1" applyFont="1" applyFill="1" applyBorder="1" applyAlignment="1" applyProtection="1">
      <alignment horizontal="center" vertical="center"/>
    </xf>
    <xf numFmtId="0" fontId="2" fillId="2" borderId="0" xfId="0" applyFont="1" applyFill="1" applyAlignment="1" applyProtection="1">
      <alignment horizontal="center" vertical="center"/>
      <protection locked="0"/>
    </xf>
    <xf numFmtId="0" fontId="2" fillId="6" borderId="0" xfId="0" applyFont="1" applyFill="1" applyAlignment="1">
      <alignment horizontal="center" vertical="center"/>
    </xf>
    <xf numFmtId="1" fontId="2" fillId="6" borderId="0" xfId="0" applyNumberFormat="1" applyFont="1" applyFill="1" applyAlignment="1">
      <alignment horizontal="center" vertical="center"/>
    </xf>
    <xf numFmtId="1" fontId="2" fillId="4" borderId="0" xfId="0" applyNumberFormat="1" applyFont="1" applyFill="1" applyAlignment="1">
      <alignment horizontal="center" vertical="center"/>
    </xf>
    <xf numFmtId="166" fontId="2" fillId="6" borderId="0" xfId="0" applyNumberFormat="1" applyFont="1" applyFill="1" applyAlignment="1">
      <alignment horizontal="center" vertical="center"/>
    </xf>
    <xf numFmtId="2" fontId="2" fillId="6" borderId="0" xfId="0" applyNumberFormat="1" applyFont="1" applyFill="1" applyAlignment="1">
      <alignment horizontal="center" vertical="center"/>
    </xf>
    <xf numFmtId="1" fontId="5" fillId="6" borderId="0" xfId="0" applyNumberFormat="1" applyFont="1" applyFill="1" applyAlignment="1">
      <alignment horizontal="center" vertical="center"/>
    </xf>
    <xf numFmtId="1" fontId="3" fillId="4" borderId="0" xfId="0" applyNumberFormat="1" applyFont="1" applyFill="1" applyAlignment="1">
      <alignment horizontal="center" vertical="center"/>
    </xf>
    <xf numFmtId="1" fontId="2" fillId="4" borderId="7" xfId="0" applyNumberFormat="1" applyFont="1" applyFill="1" applyBorder="1" applyAlignment="1">
      <alignment horizontal="center" vertical="center"/>
    </xf>
    <xf numFmtId="9" fontId="2" fillId="4" borderId="0" xfId="1" applyFont="1" applyFill="1" applyBorder="1" applyAlignment="1" applyProtection="1">
      <alignment horizontal="center" vertical="center"/>
      <protection locked="0"/>
    </xf>
    <xf numFmtId="0" fontId="2" fillId="6" borderId="9" xfId="0" applyFont="1" applyFill="1" applyBorder="1" applyAlignment="1">
      <alignment vertical="center"/>
    </xf>
    <xf numFmtId="9" fontId="2" fillId="4" borderId="9" xfId="1"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9" xfId="0" applyFont="1" applyFill="1" applyBorder="1" applyAlignment="1">
      <alignment horizontal="center" vertical="center"/>
    </xf>
    <xf numFmtId="0" fontId="2" fillId="2" borderId="9" xfId="0" applyFont="1" applyFill="1" applyBorder="1" applyAlignment="1">
      <alignment horizontal="center" vertical="center"/>
    </xf>
    <xf numFmtId="1" fontId="2" fillId="6" borderId="9" xfId="0" applyNumberFormat="1" applyFont="1" applyFill="1" applyBorder="1" applyAlignment="1">
      <alignment horizontal="center" vertical="center"/>
    </xf>
    <xf numFmtId="1" fontId="2" fillId="4" borderId="9" xfId="0" applyNumberFormat="1" applyFont="1" applyFill="1" applyBorder="1" applyAlignment="1">
      <alignment horizontal="center" vertical="center"/>
    </xf>
    <xf numFmtId="166" fontId="2" fillId="6" borderId="9" xfId="0" applyNumberFormat="1" applyFont="1" applyFill="1" applyBorder="1" applyAlignment="1">
      <alignment horizontal="center" vertical="center"/>
    </xf>
    <xf numFmtId="2" fontId="2" fillId="6" borderId="9" xfId="0" applyNumberFormat="1" applyFont="1" applyFill="1" applyBorder="1" applyAlignment="1">
      <alignment horizontal="center" vertical="center"/>
    </xf>
    <xf numFmtId="1" fontId="5" fillId="6" borderId="9" xfId="0" applyNumberFormat="1" applyFont="1" applyFill="1" applyBorder="1" applyAlignment="1">
      <alignment horizontal="center" vertical="center"/>
    </xf>
    <xf numFmtId="0" fontId="5" fillId="2" borderId="0" xfId="0" applyFont="1" applyFill="1" applyAlignment="1">
      <alignment horizontal="center" vertical="center"/>
    </xf>
    <xf numFmtId="0" fontId="2" fillId="5" borderId="0" xfId="0" applyFont="1" applyFill="1" applyAlignment="1">
      <alignment vertical="center"/>
    </xf>
    <xf numFmtId="0" fontId="3" fillId="6" borderId="0" xfId="0" applyFont="1" applyFill="1" applyAlignment="1">
      <alignment horizontal="center" vertical="center"/>
    </xf>
    <xf numFmtId="164" fontId="2" fillId="5" borderId="0" xfId="1" applyNumberFormat="1" applyFont="1" applyFill="1" applyBorder="1" applyAlignment="1">
      <alignment horizontal="center" vertical="center"/>
    </xf>
    <xf numFmtId="9" fontId="2" fillId="5" borderId="0" xfId="1" applyFont="1" applyFill="1" applyBorder="1" applyAlignment="1">
      <alignment horizontal="center" vertical="center"/>
    </xf>
    <xf numFmtId="167" fontId="2" fillId="5" borderId="0" xfId="0" applyNumberFormat="1" applyFont="1" applyFill="1" applyAlignment="1">
      <alignment horizontal="center" vertical="center"/>
    </xf>
    <xf numFmtId="2" fontId="2" fillId="5" borderId="0" xfId="0" applyNumberFormat="1" applyFont="1" applyFill="1" applyAlignment="1">
      <alignment vertical="center"/>
    </xf>
    <xf numFmtId="0" fontId="2" fillId="4" borderId="9" xfId="0" applyFont="1" applyFill="1" applyBorder="1" applyAlignment="1">
      <alignment horizontal="center" vertical="center"/>
    </xf>
    <xf numFmtId="1" fontId="2" fillId="5" borderId="9" xfId="0" applyNumberFormat="1" applyFont="1" applyFill="1" applyBorder="1" applyAlignment="1">
      <alignment horizontal="center" vertical="center"/>
    </xf>
    <xf numFmtId="9" fontId="2" fillId="5" borderId="9" xfId="0" applyNumberFormat="1" applyFont="1" applyFill="1" applyBorder="1" applyAlignment="1">
      <alignment horizontal="center" vertical="center"/>
    </xf>
    <xf numFmtId="1" fontId="2" fillId="4" borderId="10" xfId="0" applyNumberFormat="1" applyFont="1" applyFill="1" applyBorder="1" applyAlignment="1">
      <alignment horizontal="center" vertical="center"/>
    </xf>
    <xf numFmtId="0" fontId="2" fillId="6" borderId="6" xfId="0" applyFont="1" applyFill="1" applyBorder="1" applyAlignment="1">
      <alignment horizontal="left" vertical="center" wrapText="1"/>
    </xf>
    <xf numFmtId="1" fontId="2" fillId="4" borderId="0" xfId="0" applyNumberFormat="1" applyFont="1" applyFill="1" applyAlignment="1">
      <alignment horizontal="center" vertical="center" wrapText="1"/>
    </xf>
    <xf numFmtId="1" fontId="2" fillId="4" borderId="7" xfId="0" applyNumberFormat="1" applyFont="1" applyFill="1" applyBorder="1" applyAlignment="1">
      <alignment horizontal="center" vertical="center" wrapText="1"/>
    </xf>
    <xf numFmtId="0" fontId="2" fillId="6" borderId="8" xfId="0" applyFont="1" applyFill="1" applyBorder="1" applyAlignment="1">
      <alignment vertical="center"/>
    </xf>
    <xf numFmtId="0" fontId="3" fillId="6" borderId="0" xfId="0" applyFont="1" applyFill="1" applyAlignment="1">
      <alignment vertical="center"/>
    </xf>
    <xf numFmtId="164" fontId="2" fillId="5" borderId="0" xfId="0" applyNumberFormat="1" applyFont="1" applyFill="1" applyAlignment="1">
      <alignment horizontal="center" vertical="center"/>
    </xf>
    <xf numFmtId="2" fontId="2" fillId="4" borderId="0" xfId="0" applyNumberFormat="1" applyFont="1" applyFill="1" applyAlignment="1">
      <alignment horizontal="center" vertical="center"/>
    </xf>
    <xf numFmtId="9" fontId="2" fillId="5" borderId="0" xfId="0" applyNumberFormat="1" applyFont="1" applyFill="1" applyAlignment="1">
      <alignment horizontal="center" vertical="center"/>
    </xf>
    <xf numFmtId="10" fontId="2" fillId="5" borderId="0" xfId="1" applyNumberFormat="1" applyFont="1" applyFill="1" applyBorder="1" applyAlignment="1">
      <alignment horizontal="center" vertical="center"/>
    </xf>
    <xf numFmtId="1" fontId="2" fillId="2" borderId="0" xfId="0" applyNumberFormat="1" applyFont="1" applyFill="1" applyAlignment="1">
      <alignment horizontal="center" vertical="center"/>
    </xf>
    <xf numFmtId="1" fontId="2" fillId="5" borderId="0" xfId="0" applyNumberFormat="1" applyFont="1" applyFill="1" applyAlignment="1">
      <alignment vertical="center"/>
    </xf>
    <xf numFmtId="1" fontId="7" fillId="5" borderId="0" xfId="0" applyNumberFormat="1" applyFont="1" applyFill="1" applyAlignment="1">
      <alignment horizontal="center" vertical="center"/>
    </xf>
    <xf numFmtId="0" fontId="5" fillId="5" borderId="0" xfId="0" applyFont="1" applyFill="1" applyAlignment="1">
      <alignment horizontal="center" vertical="center"/>
    </xf>
    <xf numFmtId="166" fontId="2" fillId="5" borderId="0" xfId="0" applyNumberFormat="1" applyFont="1" applyFill="1" applyAlignment="1">
      <alignment vertical="center"/>
    </xf>
    <xf numFmtId="164" fontId="3" fillId="5" borderId="0" xfId="0" applyNumberFormat="1" applyFont="1" applyFill="1" applyAlignment="1">
      <alignment horizontal="center" vertical="center"/>
    </xf>
    <xf numFmtId="164" fontId="3" fillId="5" borderId="9" xfId="0" applyNumberFormat="1" applyFont="1" applyFill="1" applyBorder="1" applyAlignment="1">
      <alignment horizontal="center" vertical="center"/>
    </xf>
    <xf numFmtId="166" fontId="2" fillId="5" borderId="9" xfId="0" applyNumberFormat="1" applyFont="1" applyFill="1" applyBorder="1" applyAlignment="1">
      <alignment horizontal="center" vertical="center"/>
    </xf>
    <xf numFmtId="166" fontId="2" fillId="2" borderId="9" xfId="0" applyNumberFormat="1" applyFont="1" applyFill="1" applyBorder="1" applyAlignment="1">
      <alignment horizontal="center" vertical="center"/>
    </xf>
    <xf numFmtId="164" fontId="2" fillId="5" borderId="9" xfId="1" applyNumberFormat="1" applyFont="1" applyFill="1" applyBorder="1" applyAlignment="1">
      <alignment horizontal="center" vertical="center"/>
    </xf>
    <xf numFmtId="2" fontId="2" fillId="5" borderId="9" xfId="0" applyNumberFormat="1" applyFont="1" applyFill="1" applyBorder="1" applyAlignment="1">
      <alignment horizontal="center" vertical="center"/>
    </xf>
    <xf numFmtId="9" fontId="2" fillId="5" borderId="9" xfId="1" applyFont="1" applyFill="1" applyBorder="1" applyAlignment="1">
      <alignment horizontal="center" vertical="center"/>
    </xf>
    <xf numFmtId="2" fontId="5" fillId="5" borderId="9" xfId="0" applyNumberFormat="1" applyFont="1" applyFill="1" applyBorder="1" applyAlignment="1">
      <alignment horizontal="center" vertical="center"/>
    </xf>
    <xf numFmtId="10" fontId="2" fillId="5" borderId="9" xfId="1" applyNumberFormat="1" applyFont="1" applyFill="1" applyBorder="1" applyAlignment="1">
      <alignment horizontal="center" vertical="center"/>
    </xf>
    <xf numFmtId="167" fontId="2" fillId="5" borderId="9" xfId="0" applyNumberFormat="1" applyFont="1" applyFill="1" applyBorder="1" applyAlignment="1">
      <alignment horizontal="center" vertical="center"/>
    </xf>
    <xf numFmtId="0" fontId="0" fillId="6" borderId="0" xfId="0" applyFill="1" applyAlignment="1">
      <alignment horizontal="left" wrapText="1"/>
    </xf>
    <xf numFmtId="1" fontId="0" fillId="4" borderId="2" xfId="0" applyNumberFormat="1" applyFill="1" applyBorder="1" applyAlignment="1">
      <alignment horizontal="center"/>
    </xf>
    <xf numFmtId="1" fontId="0" fillId="4" borderId="5" xfId="0" applyNumberFormat="1" applyFill="1" applyBorder="1" applyAlignment="1">
      <alignment horizontal="center"/>
    </xf>
    <xf numFmtId="0" fontId="0" fillId="6" borderId="9" xfId="0" applyFill="1" applyBorder="1" applyAlignment="1">
      <alignment horizontal="left"/>
    </xf>
    <xf numFmtId="1" fontId="0" fillId="4" borderId="9" xfId="0" applyNumberFormat="1" applyFill="1" applyBorder="1" applyAlignment="1">
      <alignment horizontal="center"/>
    </xf>
    <xf numFmtId="1" fontId="0" fillId="4" borderId="10" xfId="0" applyNumberFormat="1" applyFill="1" applyBorder="1" applyAlignment="1">
      <alignment horizontal="center"/>
    </xf>
    <xf numFmtId="0" fontId="0" fillId="0" borderId="0" xfId="0" applyAlignment="1">
      <alignment vertical="center" wrapText="1"/>
    </xf>
    <xf numFmtId="0" fontId="10" fillId="6" borderId="0" xfId="0" applyFont="1" applyFill="1"/>
    <xf numFmtId="0" fontId="10" fillId="6" borderId="2" xfId="0" applyFont="1" applyFill="1" applyBorder="1"/>
    <xf numFmtId="0" fontId="10" fillId="6" borderId="2" xfId="0" applyFont="1" applyFill="1" applyBorder="1" applyAlignment="1">
      <alignment horizontal="left"/>
    </xf>
    <xf numFmtId="0" fontId="10" fillId="6" borderId="0" xfId="0" applyFont="1" applyFill="1" applyAlignment="1">
      <alignment horizontal="left"/>
    </xf>
    <xf numFmtId="0" fontId="7" fillId="5" borderId="2" xfId="0" applyFont="1" applyFill="1" applyBorder="1" applyAlignment="1">
      <alignment horizontal="center"/>
    </xf>
    <xf numFmtId="0" fontId="7" fillId="5" borderId="2" xfId="0" applyFont="1" applyFill="1" applyBorder="1" applyAlignment="1">
      <alignment wrapText="1"/>
    </xf>
    <xf numFmtId="0" fontId="11" fillId="5" borderId="2" xfId="0" applyFont="1" applyFill="1" applyBorder="1" applyAlignment="1">
      <alignment horizontal="center" wrapText="1"/>
    </xf>
    <xf numFmtId="0" fontId="7" fillId="6" borderId="8" xfId="0" applyFont="1" applyFill="1" applyBorder="1" applyAlignment="1">
      <alignment horizontal="center" wrapText="1"/>
    </xf>
    <xf numFmtId="0" fontId="7" fillId="6" borderId="9" xfId="0" applyFont="1" applyFill="1" applyBorder="1" applyAlignment="1">
      <alignment horizontal="center" wrapText="1"/>
    </xf>
    <xf numFmtId="0" fontId="7" fillId="2" borderId="9" xfId="0" applyFont="1" applyFill="1" applyBorder="1" applyAlignment="1">
      <alignment horizontal="center" wrapText="1"/>
    </xf>
    <xf numFmtId="0" fontId="7" fillId="4" borderId="9" xfId="0" applyFont="1" applyFill="1" applyBorder="1" applyAlignment="1">
      <alignment horizontal="center" wrapText="1"/>
    </xf>
    <xf numFmtId="0" fontId="7" fillId="4" borderId="9" xfId="0" applyFont="1" applyFill="1" applyBorder="1" applyAlignment="1">
      <alignment horizontal="center"/>
    </xf>
    <xf numFmtId="0" fontId="7" fillId="5" borderId="9" xfId="0" applyFont="1" applyFill="1" applyBorder="1" applyAlignment="1">
      <alignment horizontal="center" wrapText="1"/>
    </xf>
    <xf numFmtId="0" fontId="7" fillId="5" borderId="9" xfId="0" applyFont="1" applyFill="1" applyBorder="1" applyAlignment="1">
      <alignment horizontal="center"/>
    </xf>
    <xf numFmtId="0" fontId="7" fillId="2" borderId="9" xfId="0" applyFont="1" applyFill="1" applyBorder="1" applyAlignment="1">
      <alignment horizontal="center"/>
    </xf>
    <xf numFmtId="0" fontId="7" fillId="2" borderId="9" xfId="0" applyFont="1" applyFill="1" applyBorder="1"/>
    <xf numFmtId="0" fontId="7" fillId="5" borderId="9" xfId="0" applyFont="1" applyFill="1" applyBorder="1"/>
    <xf numFmtId="0" fontId="7" fillId="5" borderId="9" xfId="0" applyFont="1" applyFill="1" applyBorder="1" applyAlignment="1">
      <alignment horizontal="center" vertical="center"/>
    </xf>
    <xf numFmtId="0" fontId="7" fillId="4" borderId="10" xfId="0" applyFont="1" applyFill="1" applyBorder="1" applyAlignment="1">
      <alignment horizontal="center"/>
    </xf>
    <xf numFmtId="0" fontId="3" fillId="0" borderId="0" xfId="0" applyFont="1"/>
    <xf numFmtId="1" fontId="2" fillId="0" borderId="0" xfId="0" applyNumberFormat="1" applyFont="1" applyAlignment="1">
      <alignment horizontal="center" vertical="center" wrapText="1"/>
    </xf>
    <xf numFmtId="0" fontId="0" fillId="0" borderId="0" xfId="0" applyAlignment="1">
      <alignment horizontal="center"/>
    </xf>
    <xf numFmtId="0" fontId="2" fillId="5" borderId="0" xfId="0" applyFont="1" applyFill="1" applyAlignment="1">
      <alignment horizontal="center"/>
    </xf>
    <xf numFmtId="166" fontId="2" fillId="5" borderId="0" xfId="0" applyNumberFormat="1" applyFont="1" applyFill="1" applyAlignment="1">
      <alignment horizontal="center"/>
    </xf>
    <xf numFmtId="0" fontId="2" fillId="5" borderId="0" xfId="0" applyFont="1" applyFill="1"/>
    <xf numFmtId="0" fontId="2" fillId="5" borderId="0" xfId="0" applyFont="1" applyFill="1" applyAlignment="1">
      <alignment horizontal="center" wrapText="1"/>
    </xf>
    <xf numFmtId="1" fontId="2" fillId="5" borderId="0" xfId="0" applyNumberFormat="1" applyFont="1" applyFill="1" applyAlignment="1">
      <alignment horizontal="center" wrapText="1"/>
    </xf>
    <xf numFmtId="1" fontId="2" fillId="5" borderId="9" xfId="0" applyNumberFormat="1" applyFont="1" applyFill="1" applyBorder="1" applyAlignment="1">
      <alignment horizontal="center" wrapText="1"/>
    </xf>
    <xf numFmtId="9" fontId="2" fillId="5" borderId="0" xfId="1" applyFont="1" applyFill="1" applyAlignment="1">
      <alignment horizontal="center" wrapText="1"/>
    </xf>
    <xf numFmtId="2" fontId="2" fillId="5" borderId="0" xfId="0" applyNumberFormat="1" applyFont="1" applyFill="1" applyAlignment="1">
      <alignment horizontal="center" wrapText="1"/>
    </xf>
    <xf numFmtId="164" fontId="2" fillId="5" borderId="0" xfId="1" applyNumberFormat="1" applyFont="1" applyFill="1" applyAlignment="1">
      <alignment horizontal="center" wrapText="1"/>
    </xf>
    <xf numFmtId="165" fontId="2" fillId="5" borderId="0" xfId="0" applyNumberFormat="1" applyFont="1" applyFill="1" applyAlignment="1">
      <alignment horizontal="center" wrapText="1"/>
    </xf>
    <xf numFmtId="166" fontId="2" fillId="5" borderId="0" xfId="0" applyNumberFormat="1" applyFont="1" applyFill="1" applyAlignment="1">
      <alignment horizontal="center" wrapText="1"/>
    </xf>
    <xf numFmtId="10" fontId="2" fillId="5" borderId="0" xfId="1" applyNumberFormat="1" applyFont="1" applyFill="1" applyAlignment="1">
      <alignment horizontal="center" wrapText="1"/>
    </xf>
    <xf numFmtId="168" fontId="2" fillId="5" borderId="0" xfId="0" applyNumberFormat="1" applyFont="1" applyFill="1" applyAlignment="1">
      <alignment horizontal="center" wrapText="1"/>
    </xf>
    <xf numFmtId="0" fontId="7" fillId="6" borderId="9" xfId="0" applyFont="1" applyFill="1" applyBorder="1" applyAlignment="1">
      <alignment horizontal="center"/>
    </xf>
    <xf numFmtId="0" fontId="2" fillId="6" borderId="0" xfId="0" applyFont="1" applyFill="1" applyAlignment="1">
      <alignment horizontal="center" wrapText="1"/>
    </xf>
    <xf numFmtId="1" fontId="2" fillId="5" borderId="0" xfId="0" applyNumberFormat="1" applyFont="1" applyFill="1" applyAlignment="1">
      <alignment horizontal="center"/>
    </xf>
    <xf numFmtId="9" fontId="0" fillId="0" borderId="1" xfId="1" applyFont="1" applyBorder="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vertical="center"/>
    </xf>
    <xf numFmtId="0" fontId="7" fillId="0" borderId="0" xfId="0" applyFont="1" applyAlignment="1">
      <alignment horizontal="left" vertical="center"/>
    </xf>
    <xf numFmtId="165" fontId="3" fillId="5" borderId="0" xfId="0" applyNumberFormat="1" applyFont="1" applyFill="1" applyAlignment="1">
      <alignment horizontal="center"/>
    </xf>
    <xf numFmtId="1" fontId="2" fillId="4" borderId="9" xfId="0" applyNumberFormat="1" applyFont="1" applyFill="1" applyBorder="1" applyAlignment="1">
      <alignment horizontal="center" vertical="center" wrapText="1"/>
    </xf>
    <xf numFmtId="1" fontId="2" fillId="4" borderId="10" xfId="0" applyNumberFormat="1" applyFont="1" applyFill="1" applyBorder="1" applyAlignment="1">
      <alignment horizontal="center" vertical="center" wrapText="1"/>
    </xf>
    <xf numFmtId="0" fontId="3" fillId="6" borderId="6" xfId="0" applyFont="1" applyFill="1" applyBorder="1" applyAlignment="1">
      <alignment vertical="center"/>
    </xf>
    <xf numFmtId="165" fontId="2" fillId="5" borderId="0" xfId="1" applyNumberFormat="1" applyFont="1" applyFill="1" applyAlignment="1">
      <alignment horizontal="center" wrapText="1"/>
    </xf>
    <xf numFmtId="2" fontId="2" fillId="5" borderId="9" xfId="0" applyNumberFormat="1" applyFont="1" applyFill="1" applyBorder="1" applyAlignment="1">
      <alignment horizontal="center"/>
    </xf>
    <xf numFmtId="0" fontId="8" fillId="0" borderId="1" xfId="0" applyFont="1" applyBorder="1"/>
    <xf numFmtId="9" fontId="0" fillId="0" borderId="1" xfId="1" applyFont="1" applyFill="1" applyBorder="1" applyAlignment="1">
      <alignment horizontal="center"/>
    </xf>
    <xf numFmtId="9" fontId="0" fillId="0" borderId="3" xfId="1" applyFont="1" applyFill="1" applyBorder="1" applyAlignment="1">
      <alignment horizontal="center"/>
    </xf>
    <xf numFmtId="0" fontId="8" fillId="0" borderId="4" xfId="0" applyFont="1" applyBorder="1"/>
    <xf numFmtId="0" fontId="0" fillId="0" borderId="5" xfId="0" applyBorder="1"/>
    <xf numFmtId="0" fontId="8" fillId="0" borderId="6" xfId="0" applyFont="1" applyBorder="1" applyAlignment="1">
      <alignment horizontal="center"/>
    </xf>
    <xf numFmtId="0" fontId="8" fillId="0" borderId="7" xfId="0" applyFont="1" applyBorder="1" applyAlignment="1">
      <alignment horizontal="center"/>
    </xf>
    <xf numFmtId="0" fontId="0" fillId="0" borderId="6" xfId="0" applyBorder="1" applyAlignment="1">
      <alignment horizontal="center"/>
    </xf>
    <xf numFmtId="0" fontId="0" fillId="0" borderId="6" xfId="0" applyBorder="1"/>
    <xf numFmtId="0" fontId="0" fillId="0" borderId="7" xfId="0" applyBorder="1"/>
    <xf numFmtId="0" fontId="0" fillId="0" borderId="8" xfId="0" applyBorder="1" applyAlignment="1">
      <alignment horizontal="center"/>
    </xf>
    <xf numFmtId="0" fontId="0" fillId="0" borderId="7" xfId="0" applyBorder="1" applyAlignment="1">
      <alignment horizontal="center"/>
    </xf>
    <xf numFmtId="1" fontId="0" fillId="0" borderId="10" xfId="1" applyNumberFormat="1" applyFont="1" applyBorder="1" applyAlignment="1">
      <alignment horizontal="center"/>
    </xf>
    <xf numFmtId="166" fontId="2" fillId="6" borderId="0" xfId="0" applyNumberFormat="1" applyFont="1" applyFill="1" applyAlignment="1">
      <alignment horizontal="center"/>
    </xf>
    <xf numFmtId="1" fontId="2" fillId="0" borderId="0" xfId="0" applyNumberFormat="1" applyFont="1"/>
    <xf numFmtId="1" fontId="5" fillId="5" borderId="0" xfId="0" applyNumberFormat="1" applyFont="1" applyFill="1" applyAlignment="1">
      <alignment horizontal="center" vertical="center"/>
    </xf>
    <xf numFmtId="167" fontId="2" fillId="0" borderId="0" xfId="0" applyNumberFormat="1" applyFont="1" applyAlignment="1">
      <alignment horizontal="center"/>
    </xf>
    <xf numFmtId="1" fontId="2" fillId="6" borderId="0" xfId="0" applyNumberFormat="1" applyFont="1" applyFill="1" applyAlignment="1">
      <alignment horizontal="center" wrapText="1"/>
    </xf>
    <xf numFmtId="166" fontId="2" fillId="6" borderId="0" xfId="0" applyNumberFormat="1" applyFont="1" applyFill="1" applyAlignment="1">
      <alignment horizontal="center" wrapText="1"/>
    </xf>
    <xf numFmtId="9" fontId="2" fillId="6" borderId="0" xfId="1" applyFont="1" applyFill="1" applyAlignment="1">
      <alignment horizontal="center" wrapText="1"/>
    </xf>
    <xf numFmtId="9" fontId="2" fillId="6" borderId="0" xfId="1" applyFont="1" applyFill="1" applyAlignment="1">
      <alignment horizontal="center"/>
    </xf>
    <xf numFmtId="10" fontId="2" fillId="6" borderId="0" xfId="1" applyNumberFormat="1" applyFont="1" applyFill="1" applyBorder="1" applyAlignment="1">
      <alignment horizontal="center"/>
    </xf>
    <xf numFmtId="10" fontId="2" fillId="6" borderId="0" xfId="1" applyNumberFormat="1" applyFont="1" applyFill="1" applyAlignment="1">
      <alignment horizontal="center" wrapText="1"/>
    </xf>
    <xf numFmtId="0" fontId="0" fillId="2" borderId="0" xfId="0" applyFill="1" applyAlignment="1">
      <alignment horizontal="left"/>
    </xf>
    <xf numFmtId="2" fontId="0" fillId="4" borderId="0" xfId="0" applyNumberFormat="1" applyFill="1" applyAlignment="1">
      <alignment horizontal="center"/>
    </xf>
    <xf numFmtId="0" fontId="8" fillId="2" borderId="0" xfId="0" applyFont="1" applyFill="1" applyAlignment="1">
      <alignment horizontal="right"/>
    </xf>
    <xf numFmtId="0" fontId="0" fillId="2" borderId="0" xfId="0" applyFill="1" applyAlignment="1">
      <alignment horizontal="right"/>
    </xf>
    <xf numFmtId="0" fontId="0" fillId="0" borderId="0" xfId="0" applyAlignment="1">
      <alignment horizontal="left"/>
    </xf>
    <xf numFmtId="1" fontId="8" fillId="0" borderId="7" xfId="0" applyNumberFormat="1" applyFont="1" applyBorder="1" applyAlignment="1">
      <alignment horizontal="center"/>
    </xf>
    <xf numFmtId="0" fontId="13" fillId="0" borderId="0" xfId="0" applyFont="1" applyAlignment="1">
      <alignment horizontal="left"/>
    </xf>
    <xf numFmtId="0" fontId="13" fillId="0" borderId="0" xfId="0" applyFont="1"/>
    <xf numFmtId="0" fontId="0" fillId="0" borderId="0" xfId="0" applyAlignment="1">
      <alignment vertical="center"/>
    </xf>
    <xf numFmtId="9" fontId="0" fillId="4" borderId="0" xfId="1" applyFont="1" applyFill="1" applyAlignment="1">
      <alignment horizontal="center" vertical="center"/>
    </xf>
    <xf numFmtId="0" fontId="0" fillId="9" borderId="0" xfId="0" applyFill="1"/>
    <xf numFmtId="9" fontId="0" fillId="4" borderId="9" xfId="1" applyFont="1" applyFill="1" applyBorder="1" applyAlignment="1">
      <alignment horizontal="center" vertical="center"/>
    </xf>
    <xf numFmtId="9" fontId="0" fillId="4" borderId="0" xfId="1" applyFont="1" applyFill="1" applyBorder="1" applyAlignment="1">
      <alignment horizontal="center"/>
    </xf>
    <xf numFmtId="15" fontId="0" fillId="9" borderId="0" xfId="0" applyNumberFormat="1" applyFill="1"/>
    <xf numFmtId="167" fontId="0" fillId="0" borderId="7" xfId="1" applyNumberFormat="1" applyFont="1" applyFill="1" applyBorder="1" applyAlignment="1">
      <alignment horizontal="center"/>
    </xf>
    <xf numFmtId="1" fontId="3" fillId="4" borderId="9" xfId="0" applyNumberFormat="1" applyFont="1" applyFill="1" applyBorder="1" applyAlignment="1">
      <alignment horizontal="center" vertical="center"/>
    </xf>
    <xf numFmtId="2" fontId="2" fillId="5" borderId="7" xfId="0" applyNumberFormat="1" applyFont="1" applyFill="1" applyBorder="1" applyAlignment="1">
      <alignment horizontal="center"/>
    </xf>
    <xf numFmtId="0" fontId="7" fillId="6" borderId="0" xfId="0" applyFont="1" applyFill="1"/>
    <xf numFmtId="0" fontId="2" fillId="6" borderId="0" xfId="0" applyFont="1" applyFill="1"/>
    <xf numFmtId="1" fontId="2" fillId="6" borderId="0" xfId="0" applyNumberFormat="1" applyFont="1" applyFill="1" applyAlignment="1">
      <alignment horizontal="center"/>
    </xf>
    <xf numFmtId="0" fontId="7" fillId="2" borderId="0" xfId="0" applyFont="1" applyFill="1"/>
    <xf numFmtId="0" fontId="7" fillId="6" borderId="0" xfId="0" applyFont="1" applyFill="1" applyAlignment="1">
      <alignment horizontal="center"/>
    </xf>
    <xf numFmtId="2" fontId="2" fillId="4" borderId="9" xfId="0" applyNumberFormat="1" applyFont="1" applyFill="1" applyBorder="1" applyAlignment="1">
      <alignment horizontal="center" vertical="center"/>
    </xf>
    <xf numFmtId="0" fontId="7" fillId="3" borderId="9" xfId="0" applyFont="1" applyFill="1" applyBorder="1" applyAlignment="1">
      <alignment horizontal="center"/>
    </xf>
    <xf numFmtId="0" fontId="7" fillId="3" borderId="9" xfId="0" applyFont="1" applyFill="1" applyBorder="1" applyAlignment="1">
      <alignment horizontal="center" vertical="center"/>
    </xf>
    <xf numFmtId="0" fontId="7" fillId="2" borderId="0" xfId="0" applyFont="1" applyFill="1" applyAlignment="1">
      <alignment horizontal="center" wrapText="1"/>
    </xf>
    <xf numFmtId="0" fontId="7" fillId="6" borderId="0" xfId="0" applyFont="1" applyFill="1" applyAlignment="1">
      <alignment horizontal="center" wrapText="1"/>
    </xf>
    <xf numFmtId="0" fontId="7" fillId="6" borderId="4" xfId="0" applyFont="1" applyFill="1" applyBorder="1" applyAlignment="1">
      <alignment horizontal="left" wrapText="1"/>
    </xf>
    <xf numFmtId="0" fontId="7" fillId="6" borderId="0" xfId="0" applyFont="1" applyFill="1" applyAlignment="1">
      <alignment horizontal="left" wrapText="1"/>
    </xf>
    <xf numFmtId="0" fontId="0" fillId="6" borderId="7" xfId="0" applyFill="1" applyBorder="1"/>
    <xf numFmtId="0" fontId="8" fillId="6" borderId="10" xfId="0" applyFont="1" applyFill="1" applyBorder="1"/>
    <xf numFmtId="15" fontId="10" fillId="9" borderId="0" xfId="0" applyNumberFormat="1" applyFont="1" applyFill="1"/>
    <xf numFmtId="0" fontId="7" fillId="6" borderId="9" xfId="0" applyFont="1" applyFill="1" applyBorder="1" applyAlignment="1">
      <alignment horizontal="center" vertical="center"/>
    </xf>
    <xf numFmtId="0" fontId="2" fillId="0" borderId="0" xfId="0" applyFont="1" applyAlignment="1">
      <alignment wrapText="1"/>
    </xf>
    <xf numFmtId="0" fontId="2" fillId="5" borderId="0" xfId="0" applyFont="1" applyFill="1" applyAlignment="1">
      <alignment wrapText="1"/>
    </xf>
    <xf numFmtId="0" fontId="7" fillId="6" borderId="0" xfId="0" applyFont="1" applyFill="1" applyAlignment="1">
      <alignment wrapText="1"/>
    </xf>
    <xf numFmtId="0" fontId="2" fillId="6" borderId="0" xfId="0" applyFont="1" applyFill="1" applyAlignment="1">
      <alignment wrapText="1"/>
    </xf>
    <xf numFmtId="9" fontId="2" fillId="5" borderId="0" xfId="0" applyNumberFormat="1" applyFont="1" applyFill="1" applyAlignment="1">
      <alignment wrapText="1"/>
    </xf>
    <xf numFmtId="9" fontId="2" fillId="0" borderId="0" xfId="0" applyNumberFormat="1" applyFont="1" applyAlignment="1">
      <alignment wrapText="1"/>
    </xf>
    <xf numFmtId="0" fontId="0" fillId="0" borderId="2" xfId="0" applyBorder="1"/>
    <xf numFmtId="0" fontId="0" fillId="0" borderId="2" xfId="0" applyBorder="1" applyAlignment="1">
      <alignment horizontal="right"/>
    </xf>
    <xf numFmtId="0" fontId="2" fillId="6" borderId="6" xfId="0" applyFont="1" applyFill="1" applyBorder="1" applyAlignment="1">
      <alignment horizontal="left" vertical="center"/>
    </xf>
    <xf numFmtId="9" fontId="2" fillId="4" borderId="0" xfId="1" applyFont="1" applyFill="1" applyBorder="1" applyAlignment="1">
      <alignment horizontal="center" vertical="center"/>
    </xf>
    <xf numFmtId="165" fontId="2" fillId="5" borderId="0" xfId="0" applyNumberFormat="1" applyFont="1" applyFill="1" applyAlignment="1">
      <alignment horizontal="center" vertical="center"/>
    </xf>
    <xf numFmtId="164" fontId="2" fillId="6" borderId="0" xfId="1" applyNumberFormat="1" applyFont="1" applyFill="1" applyBorder="1" applyAlignment="1">
      <alignment horizontal="center" vertical="center"/>
    </xf>
    <xf numFmtId="10" fontId="2" fillId="5" borderId="0" xfId="0" applyNumberFormat="1" applyFont="1" applyFill="1" applyAlignment="1">
      <alignment horizontal="center" vertical="center"/>
    </xf>
    <xf numFmtId="166" fontId="2" fillId="4" borderId="0" xfId="0" applyNumberFormat="1" applyFont="1" applyFill="1" applyAlignment="1">
      <alignment horizontal="center" vertical="center"/>
    </xf>
    <xf numFmtId="166" fontId="2" fillId="4" borderId="7" xfId="0" applyNumberFormat="1" applyFont="1" applyFill="1" applyBorder="1" applyAlignment="1">
      <alignment horizontal="center" vertical="center"/>
    </xf>
    <xf numFmtId="0" fontId="2" fillId="6" borderId="8" xfId="0" applyFont="1" applyFill="1" applyBorder="1" applyAlignment="1">
      <alignment horizontal="left" vertical="center"/>
    </xf>
    <xf numFmtId="0" fontId="5" fillId="2" borderId="9" xfId="0" applyFont="1" applyFill="1" applyBorder="1" applyAlignment="1">
      <alignment horizontal="center" vertical="center"/>
    </xf>
    <xf numFmtId="0" fontId="0" fillId="5" borderId="9" xfId="0" applyFill="1" applyBorder="1"/>
    <xf numFmtId="166" fontId="2" fillId="4" borderId="9" xfId="0" applyNumberFormat="1" applyFont="1" applyFill="1" applyBorder="1" applyAlignment="1">
      <alignment horizontal="center" vertical="center"/>
    </xf>
    <xf numFmtId="166" fontId="2" fillId="4" borderId="10" xfId="0" applyNumberFormat="1" applyFont="1" applyFill="1" applyBorder="1" applyAlignment="1">
      <alignment horizontal="center" vertical="center"/>
    </xf>
    <xf numFmtId="9" fontId="2" fillId="4" borderId="9" xfId="1" applyFont="1" applyFill="1" applyBorder="1" applyAlignment="1">
      <alignment horizontal="center" vertical="center"/>
    </xf>
    <xf numFmtId="0" fontId="7" fillId="3" borderId="2" xfId="0" applyFont="1" applyFill="1" applyBorder="1" applyAlignment="1">
      <alignment horizontal="center" wrapText="1"/>
    </xf>
    <xf numFmtId="1" fontId="5" fillId="5" borderId="9" xfId="0" applyNumberFormat="1" applyFont="1" applyFill="1" applyBorder="1" applyAlignment="1">
      <alignment horizontal="center" vertical="center"/>
    </xf>
    <xf numFmtId="0" fontId="2" fillId="2" borderId="0" xfId="0" applyFont="1" applyFill="1" applyAlignment="1">
      <alignment horizontal="center" wrapText="1"/>
    </xf>
    <xf numFmtId="0" fontId="2" fillId="5" borderId="9" xfId="0" applyFont="1" applyFill="1" applyBorder="1" applyAlignment="1">
      <alignment horizontal="center" wrapText="1"/>
    </xf>
    <xf numFmtId="165" fontId="2" fillId="5" borderId="0" xfId="1" applyNumberFormat="1" applyFont="1" applyFill="1" applyBorder="1" applyAlignment="1">
      <alignment horizontal="center"/>
    </xf>
    <xf numFmtId="168" fontId="3" fillId="5" borderId="0" xfId="0" applyNumberFormat="1" applyFont="1" applyFill="1" applyAlignment="1">
      <alignment horizontal="center"/>
    </xf>
    <xf numFmtId="9" fontId="2" fillId="5" borderId="0" xfId="1" applyFont="1" applyFill="1" applyAlignment="1">
      <alignment horizontal="center"/>
    </xf>
    <xf numFmtId="0" fontId="2" fillId="5" borderId="6" xfId="0" applyFont="1" applyFill="1" applyBorder="1" applyAlignment="1">
      <alignment horizontal="center"/>
    </xf>
    <xf numFmtId="0" fontId="5" fillId="5" borderId="0" xfId="0" applyFont="1" applyFill="1" applyAlignment="1">
      <alignment horizontal="left"/>
    </xf>
    <xf numFmtId="165" fontId="2" fillId="5" borderId="0" xfId="0" applyNumberFormat="1" applyFont="1" applyFill="1" applyAlignment="1">
      <alignment horizontal="center"/>
    </xf>
    <xf numFmtId="1" fontId="3" fillId="5" borderId="0" xfId="0" applyNumberFormat="1" applyFont="1" applyFill="1" applyAlignment="1">
      <alignment horizontal="center"/>
    </xf>
    <xf numFmtId="167" fontId="3" fillId="5" borderId="0" xfId="0" applyNumberFormat="1" applyFont="1" applyFill="1" applyAlignment="1">
      <alignment horizontal="center"/>
    </xf>
    <xf numFmtId="9" fontId="2" fillId="6" borderId="0" xfId="1" applyFont="1" applyFill="1" applyBorder="1" applyAlignment="1">
      <alignment horizontal="center"/>
    </xf>
    <xf numFmtId="0" fontId="2" fillId="2" borderId="0" xfId="1" applyNumberFormat="1" applyFont="1" applyFill="1" applyBorder="1" applyAlignment="1">
      <alignment horizontal="center"/>
    </xf>
    <xf numFmtId="1" fontId="2" fillId="2" borderId="0" xfId="0" applyNumberFormat="1" applyFont="1" applyFill="1" applyAlignment="1">
      <alignment horizontal="center"/>
    </xf>
    <xf numFmtId="2" fontId="2" fillId="6" borderId="9" xfId="0" applyNumberFormat="1" applyFont="1" applyFill="1" applyBorder="1" applyAlignment="1">
      <alignment horizontal="center"/>
    </xf>
    <xf numFmtId="0" fontId="2" fillId="0" borderId="0" xfId="0" applyFont="1" applyAlignment="1">
      <alignment horizontal="left"/>
    </xf>
    <xf numFmtId="0" fontId="7" fillId="0" borderId="0" xfId="0" applyFont="1" applyAlignment="1">
      <alignment horizontal="left"/>
    </xf>
    <xf numFmtId="0" fontId="7" fillId="5" borderId="0" xfId="0" applyFont="1" applyFill="1" applyAlignment="1">
      <alignment horizontal="center" vertical="center"/>
    </xf>
    <xf numFmtId="0" fontId="3" fillId="5" borderId="0" xfId="0" applyFont="1" applyFill="1" applyAlignment="1">
      <alignment horizontal="center"/>
    </xf>
    <xf numFmtId="166" fontId="2" fillId="5" borderId="9" xfId="0" applyNumberFormat="1" applyFont="1" applyFill="1" applyBorder="1" applyAlignment="1">
      <alignment horizontal="center"/>
    </xf>
    <xf numFmtId="1" fontId="2" fillId="5" borderId="9" xfId="0" applyNumberFormat="1" applyFont="1" applyFill="1" applyBorder="1" applyAlignment="1">
      <alignment horizontal="center"/>
    </xf>
    <xf numFmtId="165" fontId="2" fillId="5" borderId="9" xfId="0" applyNumberFormat="1" applyFont="1" applyFill="1" applyBorder="1" applyAlignment="1">
      <alignment horizontal="center"/>
    </xf>
    <xf numFmtId="1" fontId="3" fillId="5" borderId="9" xfId="0" applyNumberFormat="1" applyFont="1" applyFill="1" applyBorder="1" applyAlignment="1">
      <alignment horizontal="center"/>
    </xf>
    <xf numFmtId="167" fontId="3" fillId="5" borderId="9" xfId="0" applyNumberFormat="1" applyFont="1" applyFill="1" applyBorder="1" applyAlignment="1">
      <alignment horizontal="center"/>
    </xf>
    <xf numFmtId="168" fontId="3" fillId="5" borderId="9" xfId="0" applyNumberFormat="1" applyFont="1" applyFill="1" applyBorder="1" applyAlignment="1">
      <alignment horizontal="center"/>
    </xf>
    <xf numFmtId="9" fontId="2" fillId="5" borderId="9" xfId="1" applyFont="1" applyFill="1" applyBorder="1" applyAlignment="1">
      <alignment horizontal="center"/>
    </xf>
    <xf numFmtId="9" fontId="1" fillId="6" borderId="2" xfId="1" applyFont="1" applyFill="1" applyBorder="1" applyAlignment="1">
      <alignment horizontal="left"/>
    </xf>
    <xf numFmtId="0" fontId="1" fillId="6" borderId="0" xfId="0" applyFont="1" applyFill="1" applyAlignment="1">
      <alignment horizontal="left"/>
    </xf>
    <xf numFmtId="0" fontId="1" fillId="6" borderId="9" xfId="0" applyFont="1" applyFill="1" applyBorder="1" applyAlignment="1">
      <alignment horizontal="left"/>
    </xf>
    <xf numFmtId="1" fontId="8" fillId="4" borderId="0" xfId="0" applyNumberFormat="1" applyFont="1" applyFill="1" applyAlignment="1">
      <alignment horizontal="center"/>
    </xf>
    <xf numFmtId="15" fontId="0" fillId="0" borderId="0" xfId="0" applyNumberFormat="1"/>
    <xf numFmtId="166" fontId="2" fillId="6" borderId="0" xfId="1" applyNumberFormat="1" applyFont="1" applyFill="1" applyBorder="1" applyAlignment="1">
      <alignment horizontal="center" vertical="center"/>
    </xf>
    <xf numFmtId="0" fontId="5" fillId="2" borderId="9" xfId="0" applyFont="1" applyFill="1" applyBorder="1" applyAlignment="1" applyProtection="1">
      <alignment horizontal="center" vertical="center"/>
      <protection locked="0"/>
    </xf>
    <xf numFmtId="9" fontId="2" fillId="5" borderId="0" xfId="1" applyFont="1" applyFill="1" applyBorder="1" applyAlignment="1">
      <alignment horizontal="center" wrapText="1"/>
    </xf>
    <xf numFmtId="10" fontId="2" fillId="6" borderId="0" xfId="0" applyNumberFormat="1" applyFont="1" applyFill="1" applyAlignment="1">
      <alignment horizontal="center"/>
    </xf>
    <xf numFmtId="10" fontId="3" fillId="6" borderId="0" xfId="1" applyNumberFormat="1" applyFont="1" applyFill="1" applyBorder="1" applyAlignment="1">
      <alignment horizontal="center"/>
    </xf>
    <xf numFmtId="10" fontId="3" fillId="6" borderId="9" xfId="1" applyNumberFormat="1" applyFont="1" applyFill="1" applyBorder="1" applyAlignment="1">
      <alignment horizontal="center"/>
    </xf>
    <xf numFmtId="1" fontId="2" fillId="5" borderId="7" xfId="0" applyNumberFormat="1" applyFont="1" applyFill="1" applyBorder="1" applyAlignment="1">
      <alignment horizontal="center"/>
    </xf>
    <xf numFmtId="0" fontId="10" fillId="6" borderId="0" xfId="0" applyFont="1" applyFill="1" applyAlignment="1">
      <alignment wrapText="1"/>
    </xf>
    <xf numFmtId="0" fontId="7" fillId="5" borderId="0" xfId="0" applyFont="1" applyFill="1" applyAlignment="1">
      <alignment horizontal="center" wrapText="1"/>
    </xf>
    <xf numFmtId="0" fontId="2" fillId="6" borderId="2" xfId="0" applyFont="1" applyFill="1" applyBorder="1" applyAlignment="1">
      <alignment horizontal="center"/>
    </xf>
    <xf numFmtId="0" fontId="2" fillId="5" borderId="2" xfId="0" applyFont="1" applyFill="1" applyBorder="1" applyAlignment="1">
      <alignment horizontal="center" wrapText="1"/>
    </xf>
    <xf numFmtId="1" fontId="2" fillId="0" borderId="0" xfId="0" applyNumberFormat="1" applyFont="1" applyAlignment="1">
      <alignment wrapText="1"/>
    </xf>
    <xf numFmtId="166" fontId="0" fillId="3" borderId="9" xfId="0" applyNumberFormat="1" applyFill="1" applyBorder="1" applyAlignment="1">
      <alignment horizontal="center"/>
    </xf>
    <xf numFmtId="1" fontId="0" fillId="3" borderId="9" xfId="0" applyNumberFormat="1" applyFill="1" applyBorder="1" applyAlignment="1">
      <alignment horizontal="center"/>
    </xf>
    <xf numFmtId="17" fontId="0" fillId="9" borderId="0" xfId="0" applyNumberFormat="1" applyFill="1"/>
    <xf numFmtId="1" fontId="8" fillId="4" borderId="7" xfId="0" applyNumberFormat="1" applyFont="1" applyFill="1" applyBorder="1" applyAlignment="1">
      <alignment horizontal="center"/>
    </xf>
    <xf numFmtId="0" fontId="7" fillId="2" borderId="11" xfId="0" applyFont="1" applyFill="1" applyBorder="1" applyAlignment="1">
      <alignment horizontal="center"/>
    </xf>
    <xf numFmtId="0" fontId="7" fillId="2" borderId="11" xfId="0" applyFont="1" applyFill="1" applyBorder="1" applyAlignment="1">
      <alignment horizontal="center" wrapText="1"/>
    </xf>
    <xf numFmtId="1" fontId="0" fillId="0" borderId="0" xfId="0" applyNumberFormat="1"/>
    <xf numFmtId="1" fontId="0" fillId="0" borderId="0" xfId="0" applyNumberFormat="1" applyAlignment="1">
      <alignment vertical="center" wrapText="1"/>
    </xf>
    <xf numFmtId="165" fontId="2" fillId="6" borderId="0" xfId="0" applyNumberFormat="1" applyFont="1" applyFill="1" applyAlignment="1">
      <alignment horizontal="center"/>
    </xf>
    <xf numFmtId="165" fontId="3" fillId="6" borderId="0" xfId="0" applyNumberFormat="1" applyFont="1" applyFill="1" applyAlignment="1">
      <alignment horizontal="center"/>
    </xf>
    <xf numFmtId="165" fontId="2" fillId="6" borderId="9" xfId="0" applyNumberFormat="1" applyFont="1" applyFill="1" applyBorder="1" applyAlignment="1">
      <alignment horizontal="center"/>
    </xf>
    <xf numFmtId="0" fontId="0" fillId="8" borderId="0" xfId="0" applyFill="1" applyAlignment="1">
      <alignment horizontal="left" vertical="center" wrapText="1"/>
    </xf>
    <xf numFmtId="0" fontId="0" fillId="2" borderId="0" xfId="0" applyFill="1" applyAlignment="1">
      <alignment horizontal="left"/>
    </xf>
    <xf numFmtId="0" fontId="8" fillId="6" borderId="2" xfId="0" applyFont="1" applyFill="1" applyBorder="1" applyAlignment="1">
      <alignment horizontal="center"/>
    </xf>
    <xf numFmtId="0" fontId="8" fillId="4" borderId="2" xfId="0" applyFont="1" applyFill="1" applyBorder="1" applyAlignment="1">
      <alignment horizontal="center"/>
    </xf>
    <xf numFmtId="0" fontId="8" fillId="6" borderId="9" xfId="0" applyFont="1" applyFill="1" applyBorder="1" applyAlignment="1">
      <alignment horizontal="center"/>
    </xf>
    <xf numFmtId="0" fontId="8" fillId="6" borderId="10" xfId="0" applyFont="1" applyFill="1" applyBorder="1" applyAlignment="1">
      <alignment horizontal="center"/>
    </xf>
    <xf numFmtId="0" fontId="8" fillId="8" borderId="6"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0" xfId="0" applyFont="1" applyFill="1" applyAlignment="1">
      <alignment horizontal="center" vertical="center"/>
    </xf>
    <xf numFmtId="0" fontId="8" fillId="6" borderId="9" xfId="0" applyFont="1" applyFill="1" applyBorder="1" applyAlignment="1">
      <alignment horizontal="center" vertical="center"/>
    </xf>
    <xf numFmtId="0" fontId="8" fillId="8" borderId="2" xfId="0" applyFont="1" applyFill="1" applyBorder="1" applyAlignment="1">
      <alignment vertical="center" wrapText="1"/>
    </xf>
    <xf numFmtId="0" fontId="8" fillId="0" borderId="0" xfId="0" applyFont="1" applyAlignment="1">
      <alignment vertical="center" wrapText="1"/>
    </xf>
  </cellXfs>
  <cellStyles count="2">
    <cellStyle name="Normal" xfId="0" builtinId="0"/>
    <cellStyle name="Percent" xfId="1" builtinId="5"/>
  </cellStyles>
  <dxfs count="0"/>
  <tableStyles count="0" defaultTableStyle="TableStyleMedium9" defaultPivotStyle="PivotStyleLight16"/>
  <colors>
    <mruColors>
      <color rgb="FFFF00FF"/>
      <color rgb="FFFF3300"/>
      <color rgb="FFFFC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0"/>
  <sheetViews>
    <sheetView workbookViewId="0"/>
  </sheetViews>
  <sheetFormatPr defaultRowHeight="14.6" x14ac:dyDescent="0.4"/>
  <sheetData>
    <row r="1" spans="1:2" s="104" customFormat="1" x14ac:dyDescent="0.4">
      <c r="A1" s="104" t="s">
        <v>391</v>
      </c>
    </row>
    <row r="3" spans="1:2" x14ac:dyDescent="0.4">
      <c r="A3" s="104" t="s">
        <v>173</v>
      </c>
    </row>
    <row r="4" spans="1:2" x14ac:dyDescent="0.4">
      <c r="A4" s="11"/>
      <c r="B4" t="s">
        <v>170</v>
      </c>
    </row>
    <row r="5" spans="1:2" x14ac:dyDescent="0.4">
      <c r="A5" s="64"/>
      <c r="B5" t="s">
        <v>175</v>
      </c>
    </row>
    <row r="6" spans="1:2" x14ac:dyDescent="0.4">
      <c r="A6" s="111"/>
      <c r="B6" t="s">
        <v>169</v>
      </c>
    </row>
    <row r="7" spans="1:2" x14ac:dyDescent="0.4">
      <c r="A7" s="110"/>
      <c r="B7" s="104" t="s">
        <v>313</v>
      </c>
    </row>
    <row r="9" spans="1:2" x14ac:dyDescent="0.4">
      <c r="A9" s="104" t="s">
        <v>174</v>
      </c>
    </row>
    <row r="10" spans="1:2" x14ac:dyDescent="0.4">
      <c r="A10" t="s">
        <v>318</v>
      </c>
    </row>
    <row r="11" spans="1:2" x14ac:dyDescent="0.4">
      <c r="A11" t="s">
        <v>171</v>
      </c>
    </row>
    <row r="12" spans="1:2" x14ac:dyDescent="0.4">
      <c r="A12" t="s">
        <v>165</v>
      </c>
    </row>
    <row r="13" spans="1:2" x14ac:dyDescent="0.4">
      <c r="A13" t="s">
        <v>172</v>
      </c>
    </row>
    <row r="14" spans="1:2" x14ac:dyDescent="0.4">
      <c r="A14" t="s">
        <v>277</v>
      </c>
    </row>
    <row r="16" spans="1:2" s="104" customFormat="1" x14ac:dyDescent="0.4">
      <c r="A16" s="104" t="s">
        <v>166</v>
      </c>
    </row>
    <row r="17" spans="1:1" x14ac:dyDescent="0.4">
      <c r="A17" t="s">
        <v>346</v>
      </c>
    </row>
    <row r="18" spans="1:1" x14ac:dyDescent="0.4">
      <c r="A18" t="s">
        <v>347</v>
      </c>
    </row>
    <row r="20" spans="1:1" x14ac:dyDescent="0.4">
      <c r="A20" t="s">
        <v>392</v>
      </c>
    </row>
  </sheetData>
  <sheetProtection password="DD31"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76"/>
  <sheetViews>
    <sheetView workbookViewId="0"/>
  </sheetViews>
  <sheetFormatPr defaultRowHeight="14.6" x14ac:dyDescent="0.4"/>
  <cols>
    <col min="1" max="1" width="30.3046875" customWidth="1"/>
    <col min="2" max="2" width="13.15234375" customWidth="1"/>
    <col min="3" max="3" width="22.3046875" customWidth="1"/>
    <col min="6" max="6" width="30.3828125" bestFit="1" customWidth="1"/>
  </cols>
  <sheetData>
    <row r="1" spans="1:11" x14ac:dyDescent="0.4">
      <c r="A1" s="250" t="s">
        <v>10</v>
      </c>
      <c r="B1" s="250" t="s">
        <v>15</v>
      </c>
      <c r="C1" t="s">
        <v>342</v>
      </c>
      <c r="F1" s="104" t="s">
        <v>423</v>
      </c>
      <c r="G1" t="s">
        <v>286</v>
      </c>
    </row>
    <row r="2" spans="1:11" x14ac:dyDescent="0.4">
      <c r="A2" s="12" t="s">
        <v>400</v>
      </c>
      <c r="B2" s="239">
        <v>0.1</v>
      </c>
      <c r="C2" t="s">
        <v>405</v>
      </c>
      <c r="F2" s="104" t="s">
        <v>271</v>
      </c>
    </row>
    <row r="3" spans="1:11" x14ac:dyDescent="0.4">
      <c r="A3" t="s">
        <v>11</v>
      </c>
      <c r="B3" s="239">
        <v>0.1</v>
      </c>
      <c r="C3" t="s">
        <v>398</v>
      </c>
      <c r="F3" s="240" t="s">
        <v>79</v>
      </c>
      <c r="G3" s="222">
        <v>84</v>
      </c>
    </row>
    <row r="4" spans="1:11" x14ac:dyDescent="0.4">
      <c r="A4" s="12" t="s">
        <v>12</v>
      </c>
      <c r="B4" s="239">
        <v>0.3</v>
      </c>
      <c r="F4" s="240" t="s">
        <v>80</v>
      </c>
      <c r="G4" s="222">
        <v>16</v>
      </c>
    </row>
    <row r="5" spans="1:11" x14ac:dyDescent="0.4">
      <c r="A5" s="12" t="s">
        <v>13</v>
      </c>
      <c r="B5" s="239">
        <v>0.2</v>
      </c>
      <c r="C5" t="s">
        <v>404</v>
      </c>
      <c r="F5" s="240" t="s">
        <v>243</v>
      </c>
      <c r="G5" s="222">
        <v>16</v>
      </c>
    </row>
    <row r="6" spans="1:11" x14ac:dyDescent="0.4">
      <c r="A6" s="12" t="s">
        <v>14</v>
      </c>
      <c r="B6" s="239">
        <v>0.3</v>
      </c>
      <c r="F6" s="240" t="s">
        <v>260</v>
      </c>
      <c r="G6" s="222">
        <v>2</v>
      </c>
    </row>
    <row r="7" spans="1:11" x14ac:dyDescent="0.4">
      <c r="A7" s="12" t="s">
        <v>399</v>
      </c>
      <c r="B7" s="251">
        <v>0.2</v>
      </c>
      <c r="C7" t="s">
        <v>406</v>
      </c>
      <c r="F7" s="240" t="s">
        <v>225</v>
      </c>
      <c r="G7" s="222">
        <v>16</v>
      </c>
    </row>
    <row r="8" spans="1:11" x14ac:dyDescent="0.4">
      <c r="A8" s="12" t="s">
        <v>401</v>
      </c>
      <c r="B8" s="239">
        <v>0.2</v>
      </c>
      <c r="C8" t="s">
        <v>408</v>
      </c>
      <c r="F8" s="240" t="s">
        <v>262</v>
      </c>
      <c r="G8" s="222">
        <v>4</v>
      </c>
      <c r="K8" t="s">
        <v>431</v>
      </c>
    </row>
    <row r="9" spans="1:11" x14ac:dyDescent="0.4">
      <c r="A9" s="12" t="s">
        <v>16</v>
      </c>
      <c r="B9" s="239">
        <v>0.4</v>
      </c>
      <c r="F9" s="240" t="s">
        <v>263</v>
      </c>
      <c r="G9" s="222">
        <v>4</v>
      </c>
    </row>
    <row r="10" spans="1:11" x14ac:dyDescent="0.4">
      <c r="A10" s="12" t="s">
        <v>28</v>
      </c>
      <c r="B10" s="239">
        <v>0.4</v>
      </c>
      <c r="C10" t="s">
        <v>407</v>
      </c>
      <c r="F10" s="123" t="s">
        <v>7</v>
      </c>
      <c r="G10" s="222">
        <v>402</v>
      </c>
      <c r="H10" t="s">
        <v>284</v>
      </c>
    </row>
    <row r="11" spans="1:11" x14ac:dyDescent="0.4">
      <c r="A11" s="12" t="s">
        <v>136</v>
      </c>
      <c r="B11" s="251">
        <v>0.4</v>
      </c>
      <c r="F11" s="123" t="s">
        <v>146</v>
      </c>
      <c r="G11" s="222">
        <v>861</v>
      </c>
      <c r="H11" t="s">
        <v>285</v>
      </c>
    </row>
    <row r="12" spans="1:11" x14ac:dyDescent="0.4">
      <c r="A12" s="17" t="s">
        <v>137</v>
      </c>
      <c r="B12" s="252">
        <v>0.4</v>
      </c>
      <c r="G12" s="222"/>
    </row>
    <row r="13" spans="1:11" x14ac:dyDescent="0.4">
      <c r="F13" s="104" t="s">
        <v>273</v>
      </c>
      <c r="G13" s="222"/>
    </row>
    <row r="14" spans="1:11" x14ac:dyDescent="0.4">
      <c r="F14" s="242" t="s">
        <v>214</v>
      </c>
      <c r="G14" s="222">
        <v>85</v>
      </c>
    </row>
    <row r="15" spans="1:11" x14ac:dyDescent="0.4">
      <c r="F15" s="123" t="s">
        <v>215</v>
      </c>
      <c r="G15" s="222">
        <v>15</v>
      </c>
    </row>
    <row r="16" spans="1:11" x14ac:dyDescent="0.4">
      <c r="A16" s="253" t="s">
        <v>282</v>
      </c>
      <c r="B16" s="254"/>
      <c r="F16" s="123" t="s">
        <v>216</v>
      </c>
      <c r="G16" s="222">
        <v>15</v>
      </c>
    </row>
    <row r="17" spans="1:7" x14ac:dyDescent="0.4">
      <c r="A17" s="255" t="s">
        <v>141</v>
      </c>
      <c r="B17" s="256" t="s">
        <v>149</v>
      </c>
      <c r="F17" s="123" t="s">
        <v>217</v>
      </c>
      <c r="G17" s="222">
        <v>90</v>
      </c>
    </row>
    <row r="18" spans="1:7" x14ac:dyDescent="0.4">
      <c r="A18" s="257">
        <v>1</v>
      </c>
      <c r="B18" s="287">
        <v>2.2046000000000001</v>
      </c>
      <c r="F18" s="123" t="s">
        <v>17</v>
      </c>
      <c r="G18" s="222">
        <v>4</v>
      </c>
    </row>
    <row r="19" spans="1:7" x14ac:dyDescent="0.4">
      <c r="A19" s="258"/>
      <c r="B19" s="259"/>
      <c r="G19" s="222"/>
    </row>
    <row r="20" spans="1:7" x14ac:dyDescent="0.4">
      <c r="A20" s="255" t="s">
        <v>296</v>
      </c>
      <c r="B20" s="256" t="s">
        <v>409</v>
      </c>
      <c r="F20" s="104" t="s">
        <v>272</v>
      </c>
      <c r="G20" s="222"/>
    </row>
    <row r="21" spans="1:7" x14ac:dyDescent="0.4">
      <c r="A21" s="257">
        <v>1</v>
      </c>
      <c r="B21" s="261">
        <v>2.29</v>
      </c>
      <c r="F21" s="241" t="s">
        <v>155</v>
      </c>
      <c r="G21" s="222">
        <v>56</v>
      </c>
    </row>
    <row r="22" spans="1:7" x14ac:dyDescent="0.4">
      <c r="A22" s="258"/>
      <c r="B22" s="259"/>
      <c r="F22" s="306" t="s">
        <v>324</v>
      </c>
      <c r="G22" s="222">
        <v>24</v>
      </c>
    </row>
    <row r="23" spans="1:7" x14ac:dyDescent="0.4">
      <c r="A23" s="255" t="s">
        <v>283</v>
      </c>
      <c r="B23" s="256"/>
      <c r="F23" s="241" t="s">
        <v>156</v>
      </c>
      <c r="G23" s="222">
        <v>20</v>
      </c>
    </row>
    <row r="24" spans="1:7" x14ac:dyDescent="0.4">
      <c r="A24" s="260">
        <v>6.25</v>
      </c>
      <c r="B24" s="262"/>
      <c r="F24" s="241" t="s">
        <v>157</v>
      </c>
      <c r="G24" s="222">
        <v>8</v>
      </c>
    </row>
    <row r="25" spans="1:7" x14ac:dyDescent="0.4">
      <c r="F25" s="241" t="s">
        <v>158</v>
      </c>
      <c r="G25" s="222">
        <v>20</v>
      </c>
    </row>
    <row r="26" spans="1:7" x14ac:dyDescent="0.4">
      <c r="F26" s="241" t="s">
        <v>77</v>
      </c>
      <c r="G26" s="222">
        <v>35</v>
      </c>
    </row>
    <row r="28" spans="1:7" x14ac:dyDescent="0.4">
      <c r="F28" s="243" t="s">
        <v>274</v>
      </c>
    </row>
    <row r="29" spans="1:7" x14ac:dyDescent="0.4">
      <c r="F29" s="123" t="s">
        <v>19</v>
      </c>
      <c r="G29" s="222">
        <v>100</v>
      </c>
    </row>
    <row r="30" spans="1:7" x14ac:dyDescent="0.4">
      <c r="F30" s="123" t="s">
        <v>22</v>
      </c>
      <c r="G30" s="222">
        <v>15</v>
      </c>
    </row>
    <row r="31" spans="1:7" x14ac:dyDescent="0.4">
      <c r="F31" s="123" t="s">
        <v>20</v>
      </c>
      <c r="G31" s="222">
        <v>3</v>
      </c>
    </row>
    <row r="32" spans="1:7" x14ac:dyDescent="0.4">
      <c r="F32" s="123" t="s">
        <v>21</v>
      </c>
      <c r="G32" s="222">
        <v>294</v>
      </c>
    </row>
    <row r="33" spans="1:6" x14ac:dyDescent="0.4">
      <c r="A33" s="104" t="s">
        <v>426</v>
      </c>
      <c r="F33" s="123"/>
    </row>
    <row r="34" spans="1:6" x14ac:dyDescent="0.4">
      <c r="A34" s="286" t="s">
        <v>295</v>
      </c>
      <c r="F34" s="123"/>
    </row>
    <row r="35" spans="1:6" x14ac:dyDescent="0.4">
      <c r="A35" t="s">
        <v>298</v>
      </c>
    </row>
    <row r="36" spans="1:6" x14ac:dyDescent="0.4">
      <c r="A36" s="286" t="s">
        <v>428</v>
      </c>
    </row>
    <row r="37" spans="1:6" x14ac:dyDescent="0.4">
      <c r="A37" t="s">
        <v>429</v>
      </c>
    </row>
    <row r="38" spans="1:6" x14ac:dyDescent="0.4">
      <c r="A38" s="283" t="s">
        <v>300</v>
      </c>
    </row>
    <row r="39" spans="1:6" x14ac:dyDescent="0.4">
      <c r="A39" t="s">
        <v>299</v>
      </c>
    </row>
    <row r="40" spans="1:6" x14ac:dyDescent="0.4">
      <c r="A40" s="283" t="s">
        <v>297</v>
      </c>
    </row>
    <row r="41" spans="1:6" x14ac:dyDescent="0.4">
      <c r="A41" t="s">
        <v>311</v>
      </c>
    </row>
    <row r="42" spans="1:6" s="11" customFormat="1" x14ac:dyDescent="0.4">
      <c r="A42" s="62" t="s">
        <v>427</v>
      </c>
    </row>
    <row r="43" spans="1:6" x14ac:dyDescent="0.4">
      <c r="A43" s="304" t="s">
        <v>322</v>
      </c>
    </row>
    <row r="44" spans="1:6" x14ac:dyDescent="0.4">
      <c r="A44" t="s">
        <v>410</v>
      </c>
      <c r="D44" s="104"/>
    </row>
    <row r="45" spans="1:6" x14ac:dyDescent="0.4">
      <c r="A45" t="s">
        <v>317</v>
      </c>
    </row>
    <row r="46" spans="1:6" x14ac:dyDescent="0.4">
      <c r="A46" t="s">
        <v>323</v>
      </c>
    </row>
    <row r="47" spans="1:6" x14ac:dyDescent="0.4">
      <c r="A47" s="304" t="s">
        <v>343</v>
      </c>
    </row>
    <row r="48" spans="1:6" x14ac:dyDescent="0.4">
      <c r="A48" t="s">
        <v>411</v>
      </c>
    </row>
    <row r="49" spans="1:1" x14ac:dyDescent="0.4">
      <c r="A49" t="s">
        <v>424</v>
      </c>
    </row>
    <row r="50" spans="1:1" x14ac:dyDescent="0.4">
      <c r="A50" t="s">
        <v>344</v>
      </c>
    </row>
    <row r="51" spans="1:1" x14ac:dyDescent="0.4">
      <c r="A51" t="s">
        <v>425</v>
      </c>
    </row>
    <row r="52" spans="1:1" x14ac:dyDescent="0.4">
      <c r="A52" s="286" t="s">
        <v>388</v>
      </c>
    </row>
    <row r="53" spans="1:1" x14ac:dyDescent="0.4">
      <c r="A53" t="s">
        <v>412</v>
      </c>
    </row>
    <row r="54" spans="1:1" x14ac:dyDescent="0.4">
      <c r="A54" s="286" t="s">
        <v>389</v>
      </c>
    </row>
    <row r="55" spans="1:1" x14ac:dyDescent="0.4">
      <c r="A55" t="s">
        <v>421</v>
      </c>
    </row>
    <row r="56" spans="1:1" x14ac:dyDescent="0.4">
      <c r="A56" s="358" t="s">
        <v>390</v>
      </c>
    </row>
    <row r="57" spans="1:1" x14ac:dyDescent="0.4">
      <c r="A57" s="358" t="s">
        <v>420</v>
      </c>
    </row>
    <row r="58" spans="1:1" x14ac:dyDescent="0.4">
      <c r="A58" s="358" t="s">
        <v>422</v>
      </c>
    </row>
    <row r="59" spans="1:1" x14ac:dyDescent="0.4">
      <c r="A59" t="s">
        <v>393</v>
      </c>
    </row>
    <row r="60" spans="1:1" x14ac:dyDescent="0.4">
      <c r="A60" t="s">
        <v>402</v>
      </c>
    </row>
    <row r="61" spans="1:1" x14ac:dyDescent="0.4">
      <c r="A61" t="s">
        <v>418</v>
      </c>
    </row>
    <row r="62" spans="1:1" x14ac:dyDescent="0.4">
      <c r="A62" t="s">
        <v>417</v>
      </c>
    </row>
    <row r="63" spans="1:1" x14ac:dyDescent="0.4">
      <c r="A63" t="s">
        <v>403</v>
      </c>
    </row>
    <row r="64" spans="1:1" x14ac:dyDescent="0.4">
      <c r="A64" s="373" t="s">
        <v>413</v>
      </c>
    </row>
    <row r="65" spans="1:1" x14ac:dyDescent="0.4">
      <c r="A65" t="s">
        <v>414</v>
      </c>
    </row>
    <row r="66" spans="1:1" x14ac:dyDescent="0.4">
      <c r="A66" s="286" t="s">
        <v>443</v>
      </c>
    </row>
    <row r="67" spans="1:1" x14ac:dyDescent="0.4">
      <c r="A67" t="s">
        <v>415</v>
      </c>
    </row>
    <row r="68" spans="1:1" x14ac:dyDescent="0.4">
      <c r="A68" t="s">
        <v>416</v>
      </c>
    </row>
    <row r="69" spans="1:1" x14ac:dyDescent="0.4">
      <c r="A69" t="s">
        <v>430</v>
      </c>
    </row>
    <row r="70" spans="1:1" x14ac:dyDescent="0.4">
      <c r="A70" t="s">
        <v>419</v>
      </c>
    </row>
    <row r="71" spans="1:1" x14ac:dyDescent="0.4">
      <c r="A71" s="286" t="s">
        <v>444</v>
      </c>
    </row>
    <row r="72" spans="1:1" x14ac:dyDescent="0.4">
      <c r="A72" t="s">
        <v>432</v>
      </c>
    </row>
    <row r="73" spans="1:1" x14ac:dyDescent="0.4">
      <c r="A73" t="s">
        <v>441</v>
      </c>
    </row>
    <row r="74" spans="1:1" x14ac:dyDescent="0.4">
      <c r="A74" t="s">
        <v>440</v>
      </c>
    </row>
    <row r="75" spans="1:1" x14ac:dyDescent="0.4">
      <c r="A75" s="283" t="s">
        <v>448</v>
      </c>
    </row>
    <row r="76" spans="1:1" x14ac:dyDescent="0.4">
      <c r="A76" t="s">
        <v>447</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Q28"/>
  <sheetViews>
    <sheetView zoomScaleNormal="100" workbookViewId="0">
      <pane xSplit="1" topLeftCell="B1" activePane="topRight" state="frozenSplit"/>
      <selection activeCell="H23" sqref="H23"/>
      <selection pane="topRight" activeCell="B2" sqref="B2"/>
    </sheetView>
  </sheetViews>
  <sheetFormatPr defaultColWidth="9.15234375" defaultRowHeight="12.45" x14ac:dyDescent="0.3"/>
  <cols>
    <col min="1" max="1" width="22.53515625" style="3" customWidth="1"/>
    <col min="2" max="2" width="34.15234375" style="3" customWidth="1"/>
    <col min="3" max="3" width="20.3828125" style="3" customWidth="1"/>
    <col min="4" max="4" width="14.15234375" style="3" customWidth="1"/>
    <col min="5" max="5" width="16.3828125" style="3" hidden="1" customWidth="1"/>
    <col min="6" max="6" width="16.84375" style="3" hidden="1" customWidth="1"/>
    <col min="7" max="7" width="14.3828125" style="3" hidden="1" customWidth="1"/>
    <col min="8" max="8" width="15.53515625" style="3" hidden="1" customWidth="1"/>
    <col min="9" max="9" width="19" style="3" hidden="1" customWidth="1"/>
    <col min="10" max="10" width="20.15234375" style="3" hidden="1" customWidth="1"/>
    <col min="11" max="11" width="15.3046875" style="3" hidden="1" customWidth="1"/>
    <col min="12" max="12" width="16.3828125" style="3" hidden="1" customWidth="1"/>
    <col min="13" max="13" width="13" style="3" hidden="1" customWidth="1"/>
    <col min="14" max="14" width="13.84375" style="3" hidden="1" customWidth="1"/>
    <col min="15" max="17" width="12.3046875" style="3" hidden="1" customWidth="1"/>
    <col min="18" max="18" width="14.3046875" style="3" hidden="1" customWidth="1"/>
    <col min="19" max="19" width="12.53515625" style="3" hidden="1" customWidth="1"/>
    <col min="20" max="20" width="12.3046875" style="3" hidden="1" customWidth="1"/>
    <col min="21" max="21" width="13.84375" style="3" hidden="1" customWidth="1"/>
    <col min="22" max="24" width="12.53515625" style="3" hidden="1" customWidth="1"/>
    <col min="25" max="25" width="13.69140625" style="3" hidden="1" customWidth="1"/>
    <col min="26" max="26" width="13.53515625" style="3" hidden="1" customWidth="1"/>
    <col min="27" max="27" width="13.69140625" style="3" hidden="1" customWidth="1"/>
    <col min="28" max="29" width="14.3828125" style="3" hidden="1" customWidth="1"/>
    <col min="30" max="30" width="15.15234375" style="3" hidden="1" customWidth="1"/>
    <col min="31" max="33" width="11.53515625" style="3" hidden="1" customWidth="1"/>
    <col min="34" max="34" width="14.3046875" style="3" hidden="1" customWidth="1"/>
    <col min="35" max="35" width="14.84375" style="3" hidden="1" customWidth="1"/>
    <col min="36" max="36" width="15.3046875" style="3" hidden="1" customWidth="1"/>
    <col min="37" max="37" width="11" style="3" hidden="1" customWidth="1"/>
    <col min="38" max="39" width="15" style="3" hidden="1" customWidth="1"/>
    <col min="40" max="40" width="15" style="2" hidden="1" customWidth="1"/>
    <col min="41" max="42" width="15" style="3" hidden="1" customWidth="1"/>
    <col min="43" max="43" width="12.3046875" style="3" customWidth="1"/>
    <col min="44" max="44" width="12" style="3" hidden="1" customWidth="1"/>
    <col min="45" max="45" width="14.3828125" style="3" hidden="1" customWidth="1"/>
    <col min="46" max="46" width="14" style="3" hidden="1" customWidth="1"/>
    <col min="47" max="47" width="13.69140625" style="3" hidden="1" customWidth="1"/>
    <col min="48" max="48" width="14" style="3" hidden="1" customWidth="1"/>
    <col min="49" max="50" width="12" style="3" hidden="1" customWidth="1"/>
    <col min="51" max="51" width="12.69140625" style="3" hidden="1" customWidth="1"/>
    <col min="52" max="52" width="14" style="3" hidden="1" customWidth="1"/>
    <col min="53" max="53" width="14.69140625" style="3" hidden="1" customWidth="1"/>
    <col min="54" max="54" width="13.84375" style="3" hidden="1" customWidth="1"/>
    <col min="55" max="55" width="14.3046875" style="3" hidden="1" customWidth="1"/>
    <col min="56" max="56" width="13.84375" style="3" hidden="1" customWidth="1"/>
    <col min="57" max="57" width="14.84375" style="3" hidden="1" customWidth="1"/>
    <col min="58" max="58" width="17.15234375" style="3" hidden="1" customWidth="1"/>
    <col min="59" max="59" width="13.3828125" style="3" hidden="1" customWidth="1"/>
    <col min="60" max="61" width="16.3046875" style="3" hidden="1" customWidth="1"/>
    <col min="62" max="62" width="18.69140625" style="3" hidden="1" customWidth="1"/>
    <col min="63" max="63" width="15" style="3" hidden="1" customWidth="1"/>
    <col min="64" max="64" width="15.53515625" style="2" hidden="1" customWidth="1"/>
    <col min="65" max="65" width="12.3046875" style="3" hidden="1" customWidth="1"/>
    <col min="66" max="66" width="14.3046875" style="3" customWidth="1"/>
    <col min="67" max="16384" width="9.15234375" style="3"/>
  </cols>
  <sheetData>
    <row r="1" spans="1:69" ht="12.9" thickBot="1" x14ac:dyDescent="0.35">
      <c r="A1" s="290" t="s">
        <v>301</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15"/>
      <c r="AO1" s="291"/>
      <c r="AP1" s="291"/>
      <c r="AQ1" s="291"/>
      <c r="AR1" s="291"/>
      <c r="AS1" s="291"/>
      <c r="AT1" s="291"/>
      <c r="AU1" s="291"/>
      <c r="AV1" s="291"/>
      <c r="AW1" s="291"/>
      <c r="AX1" s="291"/>
      <c r="AY1" s="291"/>
      <c r="AZ1" s="291"/>
      <c r="BA1" s="291"/>
      <c r="BB1" s="291"/>
      <c r="BC1" s="291"/>
      <c r="BD1" s="291"/>
      <c r="BE1" s="291"/>
      <c r="BF1" s="291"/>
      <c r="BG1" s="291"/>
      <c r="BH1" s="291"/>
      <c r="BI1" s="291"/>
      <c r="BJ1" s="291"/>
      <c r="BK1" s="291"/>
      <c r="BL1" s="15"/>
      <c r="BM1" s="291"/>
      <c r="BN1" s="291"/>
    </row>
    <row r="2" spans="1:69" ht="12.9" thickBot="1" x14ac:dyDescent="0.35">
      <c r="A2" s="293" t="s">
        <v>304</v>
      </c>
      <c r="B2" s="375"/>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15"/>
      <c r="AO2" s="291"/>
      <c r="AP2" s="291"/>
      <c r="AQ2" s="291"/>
      <c r="AR2" s="291"/>
      <c r="AS2" s="291"/>
      <c r="AT2" s="291"/>
      <c r="AU2" s="291"/>
      <c r="AV2" s="291"/>
      <c r="AW2" s="291"/>
      <c r="AX2" s="291"/>
      <c r="AY2" s="291"/>
      <c r="AZ2" s="291"/>
      <c r="BA2" s="291"/>
      <c r="BB2" s="291"/>
      <c r="BC2" s="291"/>
      <c r="BD2" s="291"/>
      <c r="BE2" s="291"/>
      <c r="BF2" s="291"/>
      <c r="BG2" s="291"/>
      <c r="BH2" s="291"/>
      <c r="BI2" s="291"/>
      <c r="BJ2" s="291"/>
      <c r="BK2" s="291"/>
      <c r="BL2" s="15"/>
      <c r="BM2" s="291"/>
      <c r="BN2" s="291"/>
    </row>
    <row r="3" spans="1:69" s="18" customFormat="1" ht="68.25" customHeight="1" x14ac:dyDescent="0.3">
      <c r="A3" s="29" t="s">
        <v>320</v>
      </c>
      <c r="B3" s="298" t="s">
        <v>9</v>
      </c>
      <c r="C3" s="20" t="s">
        <v>145</v>
      </c>
      <c r="D3" s="19" t="s">
        <v>8</v>
      </c>
      <c r="E3" s="21" t="s">
        <v>60</v>
      </c>
      <c r="F3" s="21" t="s">
        <v>61</v>
      </c>
      <c r="G3" s="33" t="s">
        <v>57</v>
      </c>
      <c r="H3" s="33" t="s">
        <v>60</v>
      </c>
      <c r="I3" s="33" t="s">
        <v>61</v>
      </c>
      <c r="J3" s="33" t="s">
        <v>57</v>
      </c>
      <c r="K3" s="33" t="s">
        <v>179</v>
      </c>
      <c r="L3" s="205" t="s">
        <v>179</v>
      </c>
      <c r="M3" s="21" t="s">
        <v>52</v>
      </c>
      <c r="N3" s="21" t="s">
        <v>268</v>
      </c>
      <c r="O3" s="33" t="s">
        <v>181</v>
      </c>
      <c r="P3" s="33" t="s">
        <v>182</v>
      </c>
      <c r="Q3" s="21" t="s">
        <v>233</v>
      </c>
      <c r="R3" s="33" t="s">
        <v>234</v>
      </c>
      <c r="S3" s="21" t="s">
        <v>30</v>
      </c>
      <c r="T3" s="34" t="s">
        <v>236</v>
      </c>
      <c r="U3" s="34" t="s">
        <v>237</v>
      </c>
      <c r="V3" s="34" t="s">
        <v>238</v>
      </c>
      <c r="W3" s="34" t="s">
        <v>244</v>
      </c>
      <c r="X3" s="34" t="s">
        <v>245</v>
      </c>
      <c r="Y3" s="34" t="s">
        <v>228</v>
      </c>
      <c r="Z3" s="34" t="s">
        <v>187</v>
      </c>
      <c r="AA3" s="33" t="s">
        <v>239</v>
      </c>
      <c r="AB3" s="33" t="s">
        <v>240</v>
      </c>
      <c r="AC3" s="34" t="s">
        <v>235</v>
      </c>
      <c r="AD3" s="34" t="s">
        <v>235</v>
      </c>
      <c r="AE3" s="327" t="s">
        <v>232</v>
      </c>
      <c r="AF3" s="33" t="s">
        <v>247</v>
      </c>
      <c r="AG3" s="33" t="s">
        <v>193</v>
      </c>
      <c r="AH3" s="33" t="s">
        <v>241</v>
      </c>
      <c r="AI3" s="33" t="s">
        <v>241</v>
      </c>
      <c r="AJ3" s="33" t="s">
        <v>195</v>
      </c>
      <c r="AK3" s="34" t="s">
        <v>196</v>
      </c>
      <c r="AL3" s="34" t="s">
        <v>275</v>
      </c>
      <c r="AM3" s="33" t="s">
        <v>63</v>
      </c>
      <c r="AN3" s="33" t="s">
        <v>248</v>
      </c>
      <c r="AO3" s="33" t="s">
        <v>227</v>
      </c>
      <c r="AP3" s="33" t="s">
        <v>46</v>
      </c>
      <c r="AQ3" s="20" t="s">
        <v>46</v>
      </c>
      <c r="AR3" s="21" t="s">
        <v>144</v>
      </c>
      <c r="AS3" s="34" t="s">
        <v>249</v>
      </c>
      <c r="AT3" s="34" t="s">
        <v>249</v>
      </c>
      <c r="AU3" s="34" t="s">
        <v>244</v>
      </c>
      <c r="AV3" s="34" t="s">
        <v>245</v>
      </c>
      <c r="AW3" s="33" t="s">
        <v>254</v>
      </c>
      <c r="AX3" s="34" t="s">
        <v>250</v>
      </c>
      <c r="AY3" s="33" t="s">
        <v>251</v>
      </c>
      <c r="AZ3" s="34" t="s">
        <v>279</v>
      </c>
      <c r="BA3" s="34" t="s">
        <v>142</v>
      </c>
      <c r="BB3" s="327" t="s">
        <v>252</v>
      </c>
      <c r="BC3" s="33" t="s">
        <v>253</v>
      </c>
      <c r="BD3" s="33" t="s">
        <v>255</v>
      </c>
      <c r="BE3" s="33" t="s">
        <v>256</v>
      </c>
      <c r="BF3" s="33" t="s">
        <v>257</v>
      </c>
      <c r="BG3" s="207" t="s">
        <v>206</v>
      </c>
      <c r="BH3" s="34" t="s">
        <v>280</v>
      </c>
      <c r="BI3" s="34" t="s">
        <v>259</v>
      </c>
      <c r="BJ3" s="34" t="s">
        <v>64</v>
      </c>
      <c r="BK3" s="33" t="s">
        <v>258</v>
      </c>
      <c r="BL3" s="33" t="s">
        <v>258</v>
      </c>
      <c r="BM3" s="34" t="s">
        <v>68</v>
      </c>
      <c r="BN3" s="22" t="s">
        <v>68</v>
      </c>
    </row>
    <row r="4" spans="1:69" s="7" customFormat="1" ht="16.5" customHeight="1" x14ac:dyDescent="0.3">
      <c r="A4" s="30"/>
      <c r="B4" s="25"/>
      <c r="C4" s="26"/>
      <c r="D4" s="210" t="s">
        <v>264</v>
      </c>
      <c r="E4" s="209" t="s">
        <v>147</v>
      </c>
      <c r="F4" s="209" t="s">
        <v>147</v>
      </c>
      <c r="G4" s="214" t="s">
        <v>147</v>
      </c>
      <c r="H4" s="213" t="s">
        <v>48</v>
      </c>
      <c r="I4" s="213" t="s">
        <v>48</v>
      </c>
      <c r="J4" s="214" t="s">
        <v>48</v>
      </c>
      <c r="K4" s="214" t="s">
        <v>281</v>
      </c>
      <c r="L4" s="213" t="s">
        <v>229</v>
      </c>
      <c r="M4" s="236" t="s">
        <v>44</v>
      </c>
      <c r="N4" s="236" t="s">
        <v>44</v>
      </c>
      <c r="O4" s="214" t="s">
        <v>208</v>
      </c>
      <c r="P4" s="214" t="s">
        <v>44</v>
      </c>
      <c r="Q4" s="209" t="s">
        <v>55</v>
      </c>
      <c r="R4" s="213" t="s">
        <v>53</v>
      </c>
      <c r="S4" s="236" t="s">
        <v>31</v>
      </c>
      <c r="T4" s="214" t="s">
        <v>208</v>
      </c>
      <c r="U4" s="214" t="s">
        <v>209</v>
      </c>
      <c r="V4" s="214" t="s">
        <v>209</v>
      </c>
      <c r="W4" s="214" t="s">
        <v>230</v>
      </c>
      <c r="X4" s="214" t="s">
        <v>230</v>
      </c>
      <c r="Y4" s="214" t="s">
        <v>31</v>
      </c>
      <c r="Z4" s="214" t="s">
        <v>246</v>
      </c>
      <c r="AA4" s="214" t="s">
        <v>242</v>
      </c>
      <c r="AB4" s="214" t="s">
        <v>246</v>
      </c>
      <c r="AC4" s="214" t="s">
        <v>209</v>
      </c>
      <c r="AD4" s="214" t="s">
        <v>53</v>
      </c>
      <c r="AE4" s="218" t="s">
        <v>210</v>
      </c>
      <c r="AF4" s="218" t="s">
        <v>209</v>
      </c>
      <c r="AG4" s="218" t="s">
        <v>209</v>
      </c>
      <c r="AH4" s="218" t="s">
        <v>231</v>
      </c>
      <c r="AI4" s="218" t="s">
        <v>226</v>
      </c>
      <c r="AJ4" s="214" t="s">
        <v>31</v>
      </c>
      <c r="AK4" s="214" t="s">
        <v>31</v>
      </c>
      <c r="AL4" s="214" t="s">
        <v>53</v>
      </c>
      <c r="AM4" s="213" t="s">
        <v>211</v>
      </c>
      <c r="AN4" s="31" t="s">
        <v>50</v>
      </c>
      <c r="AO4" s="31" t="s">
        <v>50</v>
      </c>
      <c r="AP4" s="31" t="s">
        <v>45</v>
      </c>
      <c r="AQ4" s="26" t="s">
        <v>130</v>
      </c>
      <c r="AR4" s="236" t="s">
        <v>31</v>
      </c>
      <c r="AS4" s="214" t="s">
        <v>55</v>
      </c>
      <c r="AT4" s="214" t="s">
        <v>208</v>
      </c>
      <c r="AU4" s="214" t="s">
        <v>230</v>
      </c>
      <c r="AV4" s="214" t="s">
        <v>230</v>
      </c>
      <c r="AW4" s="214" t="s">
        <v>340</v>
      </c>
      <c r="AX4" s="214" t="s">
        <v>208</v>
      </c>
      <c r="AY4" s="214" t="s">
        <v>53</v>
      </c>
      <c r="AZ4" s="214" t="s">
        <v>53</v>
      </c>
      <c r="BA4" s="214" t="s">
        <v>53</v>
      </c>
      <c r="BB4" s="214" t="s">
        <v>210</v>
      </c>
      <c r="BC4" s="214" t="s">
        <v>209</v>
      </c>
      <c r="BD4" s="214" t="s">
        <v>209</v>
      </c>
      <c r="BE4" s="214" t="s">
        <v>53</v>
      </c>
      <c r="BF4" s="214" t="s">
        <v>31</v>
      </c>
      <c r="BG4" s="214" t="s">
        <v>31</v>
      </c>
      <c r="BH4" s="214" t="s">
        <v>53</v>
      </c>
      <c r="BI4" s="214" t="s">
        <v>55</v>
      </c>
      <c r="BJ4" s="32"/>
      <c r="BK4" s="214" t="s">
        <v>69</v>
      </c>
      <c r="BL4" s="214" t="s">
        <v>70</v>
      </c>
      <c r="BM4" s="31" t="s">
        <v>50</v>
      </c>
      <c r="BN4" s="28" t="s">
        <v>130</v>
      </c>
    </row>
    <row r="5" spans="1:69" s="7" customFormat="1" ht="15" hidden="1" customHeight="1" x14ac:dyDescent="0.4">
      <c r="A5" s="170" t="s">
        <v>79</v>
      </c>
      <c r="B5" s="159" t="s">
        <v>12</v>
      </c>
      <c r="C5" s="282">
        <f>VLOOKUP(B5,'Notes and Look Up'!$A$1:$B$11,2,0)</f>
        <v>0.3</v>
      </c>
      <c r="D5" s="67"/>
      <c r="E5" s="267">
        <v>447</v>
      </c>
      <c r="F5" s="267">
        <v>630</v>
      </c>
      <c r="G5" s="227">
        <f>AVERAGE(E5:F5)</f>
        <v>538.5</v>
      </c>
      <c r="H5" s="238">
        <f>E5/'Notes and Look Up'!$B$18</f>
        <v>202.75786990837338</v>
      </c>
      <c r="I5" s="238">
        <f>F5/'Notes and Look Up'!$B$18</f>
        <v>285.76612537421755</v>
      </c>
      <c r="J5" s="238">
        <f>AVERAGE(H5:I5)</f>
        <v>244.26199764129547</v>
      </c>
      <c r="K5" s="224">
        <f>L5*N5</f>
        <v>96.944127732922084</v>
      </c>
      <c r="L5" s="224">
        <f>((I5-H5)/2/3)+(1.4*13.2)</f>
        <v>32.314709244307359</v>
      </c>
      <c r="M5" s="140">
        <v>121</v>
      </c>
      <c r="N5" s="141">
        <v>3</v>
      </c>
      <c r="O5" s="227" t="s">
        <v>47</v>
      </c>
      <c r="P5" s="227">
        <f>M5*N5</f>
        <v>363</v>
      </c>
      <c r="Q5" s="15">
        <v>2.2999999999999998</v>
      </c>
      <c r="R5" s="226" t="s">
        <v>47</v>
      </c>
      <c r="S5" s="269">
        <v>0.14000000000000001</v>
      </c>
      <c r="T5" s="226">
        <f>S5*Q5*1000</f>
        <v>322</v>
      </c>
      <c r="U5" s="226">
        <f>T5*M5</f>
        <v>38962</v>
      </c>
      <c r="V5" s="227">
        <f>U5/'Notes and Look Up'!$A$24</f>
        <v>6233.92</v>
      </c>
      <c r="W5" s="226"/>
      <c r="X5" s="226"/>
      <c r="Y5" s="226"/>
      <c r="Z5" s="226"/>
      <c r="AA5" s="226"/>
      <c r="AB5" s="226"/>
      <c r="AC5" s="227">
        <f>V5+AB5</f>
        <v>6233.92</v>
      </c>
      <c r="AD5" s="230">
        <f>AC5/1000</f>
        <v>6.2339200000000003</v>
      </c>
      <c r="AE5" s="226">
        <v>26</v>
      </c>
      <c r="AF5" s="227">
        <f t="shared" ref="AF5:AF14" si="0">(AE5*L5)</f>
        <v>840.18244035199132</v>
      </c>
      <c r="AG5" s="226"/>
      <c r="AH5" s="227">
        <f>AF5+AG5</f>
        <v>840.18244035199132</v>
      </c>
      <c r="AI5" s="230">
        <f>AH5/1000</f>
        <v>0.8401824403519913</v>
      </c>
      <c r="AJ5" s="229">
        <f>AI5/AD5</f>
        <v>0.13477594199989593</v>
      </c>
      <c r="AK5" s="229">
        <f>1-AJ5</f>
        <v>0.86522405800010405</v>
      </c>
      <c r="AL5" s="232">
        <f t="shared" ref="AL5:AL6" si="1">AK5*AD5</f>
        <v>5.3937375596480086</v>
      </c>
      <c r="AM5" s="232">
        <f t="shared" ref="AM5:AM6" si="2">AL5/M5/J5*1000</f>
        <v>0.18249397736289202</v>
      </c>
      <c r="AN5" s="230">
        <f t="shared" ref="AN5:AN6" si="3">AL5*N5</f>
        <v>16.181212678944025</v>
      </c>
      <c r="AO5" s="230">
        <f t="shared" ref="AO5:AO14" si="4">AN5*D5</f>
        <v>0</v>
      </c>
      <c r="AP5" s="265">
        <f>(1-(VLOOKUP(B5,'Notes and Look Up'!$A$2:$B$9,2,0)))*AO5</f>
        <v>0</v>
      </c>
      <c r="AQ5" s="171">
        <f>AP5*'Notes and Look Up'!$B$18</f>
        <v>0</v>
      </c>
      <c r="AR5" s="271">
        <v>5.3E-3</v>
      </c>
      <c r="AS5" s="232">
        <f>Q5*AR5</f>
        <v>1.2189999999999999E-2</v>
      </c>
      <c r="AT5" s="233">
        <f>AS5*1000</f>
        <v>12.19</v>
      </c>
      <c r="AU5" s="226"/>
      <c r="AV5" s="226"/>
      <c r="AW5" s="226"/>
      <c r="AX5" s="226"/>
      <c r="AY5" s="226"/>
      <c r="AZ5" s="230">
        <f>AS5*M5</f>
        <v>1.47499</v>
      </c>
      <c r="BA5" s="230">
        <f>AY5+AZ5</f>
        <v>1.47499</v>
      </c>
      <c r="BB5" s="233">
        <v>5.8</v>
      </c>
      <c r="BC5" s="233">
        <f t="shared" ref="BC5:BC14" si="5">BB5*L5</f>
        <v>187.42531361698266</v>
      </c>
      <c r="BD5" s="226"/>
      <c r="BE5" s="232">
        <f t="shared" ref="BE5" si="6">(BC5+BD5)/1000</f>
        <v>0.18742531361698267</v>
      </c>
      <c r="BF5" s="229">
        <f>BE5/BA5</f>
        <v>0.12706887071572193</v>
      </c>
      <c r="BG5" s="229">
        <f>1-BF5</f>
        <v>0.87293112928427807</v>
      </c>
      <c r="BH5" s="248">
        <f>BA5*BG5</f>
        <v>1.2875646863830172</v>
      </c>
      <c r="BI5" s="235">
        <f>BH5/M5</f>
        <v>1.064103046597535E-2</v>
      </c>
      <c r="BJ5" s="164">
        <f>BI5/J5*1000*'Notes and Look Up'!$B$21</f>
        <v>9.9761567506986809E-2</v>
      </c>
      <c r="BK5" s="230">
        <f>BH5*'Notes and Look Up'!$B$21</f>
        <v>2.9485231318171095</v>
      </c>
      <c r="BL5" s="230">
        <f t="shared" ref="BL5:BL14" si="7">BK5*N5</f>
        <v>8.8455693954513279</v>
      </c>
      <c r="BM5" s="131">
        <f t="shared" ref="BM5:BM14" si="8">BL5*D5</f>
        <v>0</v>
      </c>
      <c r="BN5" s="172">
        <f>BM5*'Notes and Look Up'!$B$18</f>
        <v>0</v>
      </c>
      <c r="BP5" s="3"/>
      <c r="BQ5" s="124"/>
    </row>
    <row r="6" spans="1:69" s="7" customFormat="1" ht="15" hidden="1" customHeight="1" x14ac:dyDescent="0.4">
      <c r="A6" s="170" t="s">
        <v>80</v>
      </c>
      <c r="B6" s="159" t="s">
        <v>12</v>
      </c>
      <c r="C6" s="282">
        <f>VLOOKUP(B6,'Notes and Look Up'!$A$1:$B$11,2,0)</f>
        <v>0.3</v>
      </c>
      <c r="D6" s="67"/>
      <c r="E6" s="267">
        <v>539</v>
      </c>
      <c r="F6" s="267">
        <v>539</v>
      </c>
      <c r="G6" s="227">
        <f t="shared" ref="G6:G14" si="9">AVERAGE(E6:F6)</f>
        <v>539</v>
      </c>
      <c r="H6" s="238">
        <f>E6/'Notes and Look Up'!$B$18</f>
        <v>244.48879615349722</v>
      </c>
      <c r="I6" s="238">
        <f>F6/'Notes and Look Up'!$B$18</f>
        <v>244.48879615349722</v>
      </c>
      <c r="J6" s="238">
        <f t="shared" ref="J6:J14" si="10">AVERAGE(H6:I6)</f>
        <v>244.48879615349722</v>
      </c>
      <c r="K6" s="224">
        <v>0</v>
      </c>
      <c r="L6" s="224">
        <v>0</v>
      </c>
      <c r="M6" s="140">
        <v>21</v>
      </c>
      <c r="N6" s="140">
        <v>15.2</v>
      </c>
      <c r="O6" s="227" t="s">
        <v>47</v>
      </c>
      <c r="P6" s="227">
        <f t="shared" ref="P6:P7" si="11">M6*N6</f>
        <v>319.2</v>
      </c>
      <c r="Q6" s="15">
        <v>6.5</v>
      </c>
      <c r="R6" s="226" t="s">
        <v>47</v>
      </c>
      <c r="S6" s="269">
        <v>0.2</v>
      </c>
      <c r="T6" s="226">
        <f>S6*Q6*1000</f>
        <v>1300</v>
      </c>
      <c r="U6" s="226">
        <f>T6*M6</f>
        <v>27300</v>
      </c>
      <c r="V6" s="227">
        <f>U6/'Notes and Look Up'!$A$24</f>
        <v>4368</v>
      </c>
      <c r="W6" s="226"/>
      <c r="X6" s="226"/>
      <c r="Y6" s="226"/>
      <c r="Z6" s="226"/>
      <c r="AA6" s="226"/>
      <c r="AB6" s="226"/>
      <c r="AC6" s="227">
        <f t="shared" ref="AC6:AC14" si="12">V6+AB6</f>
        <v>4368</v>
      </c>
      <c r="AD6" s="230">
        <f t="shared" ref="AD6:AD14" si="13">AC6/1000</f>
        <v>4.3680000000000003</v>
      </c>
      <c r="AE6" s="226">
        <v>26</v>
      </c>
      <c r="AF6" s="227">
        <f t="shared" si="0"/>
        <v>0</v>
      </c>
      <c r="AG6" s="227">
        <f>AB7</f>
        <v>2123.5737599999998</v>
      </c>
      <c r="AH6" s="227">
        <f t="shared" ref="AH6:AH14" si="14">AF6+AG6</f>
        <v>2123.5737599999998</v>
      </c>
      <c r="AI6" s="230">
        <f t="shared" ref="AI6:AI14" si="15">AH6/1000</f>
        <v>2.1235737599999998</v>
      </c>
      <c r="AJ6" s="229">
        <f t="shared" ref="AJ6:AJ14" si="16">AI6/AD6</f>
        <v>0.48616615384615375</v>
      </c>
      <c r="AK6" s="229">
        <f t="shared" ref="AK6:AK14" si="17">1-AJ6</f>
        <v>0.51383384615384631</v>
      </c>
      <c r="AL6" s="232">
        <f t="shared" si="1"/>
        <v>2.244426240000001</v>
      </c>
      <c r="AM6" s="232">
        <f t="shared" si="2"/>
        <v>0.43714657555473119</v>
      </c>
      <c r="AN6" s="230">
        <f t="shared" si="3"/>
        <v>34.115278848000017</v>
      </c>
      <c r="AO6" s="230">
        <f t="shared" si="4"/>
        <v>0</v>
      </c>
      <c r="AP6" s="265">
        <f>(1-(VLOOKUP(B6,'Notes and Look Up'!$A$2:$B$9,2,0)))*AO6</f>
        <v>0</v>
      </c>
      <c r="AQ6" s="171">
        <f>AP6*'Notes and Look Up'!$B$18</f>
        <v>0</v>
      </c>
      <c r="AR6" s="271">
        <v>6.3E-3</v>
      </c>
      <c r="AS6" s="232">
        <f>Q6*AR6</f>
        <v>4.095E-2</v>
      </c>
      <c r="AT6" s="233">
        <f t="shared" ref="AT6:AT14" si="18">AS6*1000</f>
        <v>40.950000000000003</v>
      </c>
      <c r="AU6" s="226"/>
      <c r="AV6" s="226"/>
      <c r="AW6" s="226"/>
      <c r="AX6" s="226"/>
      <c r="AY6" s="226"/>
      <c r="AZ6" s="230">
        <f t="shared" ref="AZ6:AZ14" si="19">AS6*M6</f>
        <v>0.85994999999999999</v>
      </c>
      <c r="BA6" s="230">
        <f t="shared" ref="BA6:BA14" si="20">AY6+AZ6</f>
        <v>0.85994999999999999</v>
      </c>
      <c r="BB6" s="226">
        <v>5.4</v>
      </c>
      <c r="BC6" s="233">
        <f t="shared" si="5"/>
        <v>0</v>
      </c>
      <c r="BD6" s="233">
        <f>AY7*1000</f>
        <v>364.24079999999998</v>
      </c>
      <c r="BE6" s="232">
        <f>(BC6+BD6)/1000</f>
        <v>0.36424079999999998</v>
      </c>
      <c r="BF6" s="229">
        <f t="shared" ref="BF6:BF14" si="21">BE6/BA6</f>
        <v>0.42356043956043954</v>
      </c>
      <c r="BG6" s="229">
        <f t="shared" ref="BG6:BG14" si="22">1-BF6</f>
        <v>0.57643956043956046</v>
      </c>
      <c r="BH6" s="248">
        <f t="shared" ref="BH6:BH14" si="23">BA6*BG6</f>
        <v>0.49570920000000002</v>
      </c>
      <c r="BI6" s="235">
        <f t="shared" ref="BI6:BI14" si="24">BH6/M6</f>
        <v>2.36052E-2</v>
      </c>
      <c r="BJ6" s="164">
        <f>BI6/J6*1000*'Notes and Look Up'!$B$21</f>
        <v>0.22109768975287572</v>
      </c>
      <c r="BK6" s="230">
        <f>BH6*'Notes and Look Up'!$B$21</f>
        <v>1.135174068</v>
      </c>
      <c r="BL6" s="230">
        <f t="shared" si="7"/>
        <v>17.254645833599998</v>
      </c>
      <c r="BM6" s="131">
        <f t="shared" si="8"/>
        <v>0</v>
      </c>
      <c r="BN6" s="172">
        <f>BM6*'Notes and Look Up'!$B$18</f>
        <v>0</v>
      </c>
      <c r="BP6" s="3"/>
      <c r="BQ6" s="124"/>
    </row>
    <row r="7" spans="1:69" s="7" customFormat="1" ht="15" hidden="1" customHeight="1" x14ac:dyDescent="0.4">
      <c r="A7" s="170" t="s">
        <v>243</v>
      </c>
      <c r="B7" s="159" t="s">
        <v>12</v>
      </c>
      <c r="C7" s="282">
        <f>VLOOKUP(B7,'Notes and Look Up'!$A$1:$B$11,2,0)</f>
        <v>0.3</v>
      </c>
      <c r="D7" s="67"/>
      <c r="E7" s="268">
        <v>3.08</v>
      </c>
      <c r="F7" s="268">
        <v>13.640000000000002</v>
      </c>
      <c r="G7" s="227">
        <f t="shared" si="9"/>
        <v>8.3600000000000012</v>
      </c>
      <c r="H7" s="224">
        <f>E7/'Notes and Look Up'!$B$18</f>
        <v>1.3970788351628414</v>
      </c>
      <c r="I7" s="224">
        <f>F7/'Notes and Look Up'!$B$18</f>
        <v>6.1870634128640125</v>
      </c>
      <c r="J7" s="238">
        <f t="shared" si="10"/>
        <v>3.7920711240134271</v>
      </c>
      <c r="K7" s="224">
        <f t="shared" ref="K7:K11" si="25">L7*N7</f>
        <v>961.58940397351012</v>
      </c>
      <c r="L7" s="224">
        <f>(I7-H7)*13.2</f>
        <v>63.227796425655455</v>
      </c>
      <c r="M7" s="140">
        <v>21</v>
      </c>
      <c r="N7" s="143">
        <f>365/24</f>
        <v>15.208333333333334</v>
      </c>
      <c r="O7" s="227"/>
      <c r="P7" s="227">
        <f t="shared" si="11"/>
        <v>319.375</v>
      </c>
      <c r="Q7" s="15">
        <v>0</v>
      </c>
      <c r="R7" s="226" t="s">
        <v>47</v>
      </c>
      <c r="S7" s="269" t="s">
        <v>47</v>
      </c>
      <c r="T7" s="226">
        <v>0</v>
      </c>
      <c r="U7" s="226">
        <v>0</v>
      </c>
      <c r="V7" s="227">
        <f>U7/'Notes and Look Up'!$A$24</f>
        <v>0</v>
      </c>
      <c r="W7" s="226">
        <v>900</v>
      </c>
      <c r="X7" s="227">
        <f>W7*13.2</f>
        <v>11880</v>
      </c>
      <c r="Y7" s="231">
        <v>5.3199999999999997E-2</v>
      </c>
      <c r="Z7" s="227">
        <f>X7*Y7</f>
        <v>632.01599999999996</v>
      </c>
      <c r="AA7" s="227">
        <f>Z7*M7</f>
        <v>13272.335999999999</v>
      </c>
      <c r="AB7" s="227">
        <f>AA7/'Notes and Look Up'!$A$24</f>
        <v>2123.5737599999998</v>
      </c>
      <c r="AC7" s="227">
        <f t="shared" si="12"/>
        <v>2123.5737599999998</v>
      </c>
      <c r="AD7" s="230">
        <f t="shared" si="13"/>
        <v>2.1235737599999998</v>
      </c>
      <c r="AE7" s="226">
        <v>26</v>
      </c>
      <c r="AF7" s="227">
        <f t="shared" si="0"/>
        <v>1643.9227070670418</v>
      </c>
      <c r="AG7" s="226"/>
      <c r="AH7" s="227">
        <f t="shared" si="14"/>
        <v>1643.9227070670418</v>
      </c>
      <c r="AI7" s="230">
        <f t="shared" si="15"/>
        <v>1.6439227070670417</v>
      </c>
      <c r="AJ7" s="229">
        <f t="shared" si="16"/>
        <v>0.77413026005135888</v>
      </c>
      <c r="AK7" s="229">
        <f t="shared" si="17"/>
        <v>0.22586973994864112</v>
      </c>
      <c r="AL7" s="232">
        <f>AK7*AD7</f>
        <v>0.47965105293295796</v>
      </c>
      <c r="AM7" s="232">
        <f>(AL7/M7/J7*1000)/13.2</f>
        <v>0.45630549829118211</v>
      </c>
      <c r="AN7" s="230">
        <f>AL7*N7</f>
        <v>7.2946930966887358</v>
      </c>
      <c r="AO7" s="230">
        <f t="shared" si="4"/>
        <v>0</v>
      </c>
      <c r="AP7" s="265">
        <f>(1-(VLOOKUP(B7,'Notes and Look Up'!$A$2:$B$9,2,0)))*AO7</f>
        <v>0</v>
      </c>
      <c r="AQ7" s="171">
        <f>AP7*'Notes and Look Up'!$B$18</f>
        <v>0</v>
      </c>
      <c r="AR7" s="271" t="s">
        <v>47</v>
      </c>
      <c r="AS7" s="232">
        <v>0</v>
      </c>
      <c r="AT7" s="233">
        <f t="shared" si="18"/>
        <v>0</v>
      </c>
      <c r="AU7" s="226">
        <v>900</v>
      </c>
      <c r="AV7" s="227">
        <f>AU7*13.2</f>
        <v>11880</v>
      </c>
      <c r="AW7" s="234">
        <v>1.4599999999999999E-3</v>
      </c>
      <c r="AX7" s="232">
        <f>AW7*AV7</f>
        <v>17.344799999999999</v>
      </c>
      <c r="AY7" s="232">
        <f>AX7*M7/1000</f>
        <v>0.36424079999999998</v>
      </c>
      <c r="AZ7" s="230">
        <f t="shared" si="19"/>
        <v>0</v>
      </c>
      <c r="BA7" s="230">
        <f t="shared" si="20"/>
        <v>0.36424079999999998</v>
      </c>
      <c r="BB7" s="226">
        <v>5.7</v>
      </c>
      <c r="BC7" s="233">
        <f t="shared" si="5"/>
        <v>360.3984396262361</v>
      </c>
      <c r="BD7" s="226"/>
      <c r="BE7" s="232">
        <f t="shared" ref="BE7" si="26">(BC7+BD7)/1000</f>
        <v>0.36039843962623608</v>
      </c>
      <c r="BF7" s="229">
        <f t="shared" si="21"/>
        <v>0.98945104344773049</v>
      </c>
      <c r="BG7" s="229">
        <f t="shared" si="22"/>
        <v>1.0548956552269506E-2</v>
      </c>
      <c r="BH7" s="248">
        <f t="shared" si="23"/>
        <v>3.8423603737638866E-3</v>
      </c>
      <c r="BI7" s="235">
        <f t="shared" si="24"/>
        <v>1.8296954160780413E-4</v>
      </c>
      <c r="BJ7" s="164">
        <f>BI7/J7*1000*'Notes and Look Up'!$B$21</f>
        <v>0.11049377413533656</v>
      </c>
      <c r="BK7" s="230">
        <f>BH7*'Notes and Look Up'!$B$21</f>
        <v>8.7990052559193E-3</v>
      </c>
      <c r="BL7" s="230">
        <f t="shared" si="7"/>
        <v>0.13381820493377269</v>
      </c>
      <c r="BM7" s="131">
        <f t="shared" si="8"/>
        <v>0</v>
      </c>
      <c r="BN7" s="172">
        <f>BM7*'Notes and Look Up'!$B$18</f>
        <v>0</v>
      </c>
      <c r="BP7" s="3"/>
      <c r="BQ7" s="124"/>
    </row>
    <row r="8" spans="1:69" s="7" customFormat="1" ht="15" hidden="1" customHeight="1" x14ac:dyDescent="0.4">
      <c r="A8" s="170" t="s">
        <v>260</v>
      </c>
      <c r="B8" s="159" t="s">
        <v>12</v>
      </c>
      <c r="C8" s="282">
        <f>VLOOKUP(B8,'Notes and Look Up'!$A$1:$B$11,2,0)</f>
        <v>0.3</v>
      </c>
      <c r="D8" s="67"/>
      <c r="E8" s="267">
        <v>630</v>
      </c>
      <c r="F8" s="267">
        <v>630</v>
      </c>
      <c r="G8" s="227">
        <f t="shared" si="9"/>
        <v>630</v>
      </c>
      <c r="H8" s="238">
        <f>E8/'Notes and Look Up'!$B$18</f>
        <v>285.76612537421755</v>
      </c>
      <c r="I8" s="238">
        <f>F8/'Notes and Look Up'!$B$18</f>
        <v>285.76612537421755</v>
      </c>
      <c r="J8" s="238">
        <f t="shared" si="10"/>
        <v>285.76612537421755</v>
      </c>
      <c r="K8" s="224">
        <v>0</v>
      </c>
      <c r="L8" s="224">
        <f>I8-H8</f>
        <v>0</v>
      </c>
      <c r="M8" s="140">
        <v>14</v>
      </c>
      <c r="N8" s="143">
        <f>365/M8</f>
        <v>26.071428571428573</v>
      </c>
      <c r="O8" s="227"/>
      <c r="P8" s="227">
        <v>365</v>
      </c>
      <c r="Q8" s="15">
        <v>2.2999999999999998</v>
      </c>
      <c r="R8" s="226" t="s">
        <v>47</v>
      </c>
      <c r="S8" s="269">
        <v>0.14000000000000001</v>
      </c>
      <c r="T8" s="226">
        <f t="shared" ref="T8:T14" si="27">S8*Q8*1000</f>
        <v>322</v>
      </c>
      <c r="U8" s="226">
        <f t="shared" ref="U8:U14" si="28">T8*M8</f>
        <v>4508</v>
      </c>
      <c r="V8" s="227">
        <f>U8/'Notes and Look Up'!$A$24</f>
        <v>721.28</v>
      </c>
      <c r="W8" s="226"/>
      <c r="X8" s="227"/>
      <c r="Y8" s="231"/>
      <c r="Z8" s="227"/>
      <c r="AA8" s="227"/>
      <c r="AB8" s="227"/>
      <c r="AC8" s="227">
        <f t="shared" si="12"/>
        <v>721.28</v>
      </c>
      <c r="AD8" s="230">
        <f t="shared" si="13"/>
        <v>0.72127999999999992</v>
      </c>
      <c r="AE8" s="226">
        <v>26</v>
      </c>
      <c r="AF8" s="227">
        <f t="shared" si="0"/>
        <v>0</v>
      </c>
      <c r="AG8" s="226"/>
      <c r="AH8" s="227">
        <f t="shared" si="14"/>
        <v>0</v>
      </c>
      <c r="AI8" s="230">
        <f t="shared" si="15"/>
        <v>0</v>
      </c>
      <c r="AJ8" s="229">
        <f t="shared" si="16"/>
        <v>0</v>
      </c>
      <c r="AK8" s="229">
        <f t="shared" si="17"/>
        <v>1</v>
      </c>
      <c r="AL8" s="232">
        <f t="shared" ref="AL8:AL14" si="29">AK8*AD8</f>
        <v>0.72127999999999992</v>
      </c>
      <c r="AM8" s="232">
        <f t="shared" ref="AM8:AM14" si="30">AL8/M8/J8*1000</f>
        <v>0.18028728888888887</v>
      </c>
      <c r="AN8" s="230">
        <f t="shared" ref="AN8:AN14" si="31">AL8*N8</f>
        <v>18.8048</v>
      </c>
      <c r="AO8" s="230">
        <f t="shared" si="4"/>
        <v>0</v>
      </c>
      <c r="AP8" s="265">
        <f>(1-(VLOOKUP(B8,'Notes and Look Up'!$A$2:$B$9,2,0)))*AO8</f>
        <v>0</v>
      </c>
      <c r="AQ8" s="171">
        <f>AP8*'Notes and Look Up'!$B$18</f>
        <v>0</v>
      </c>
      <c r="AR8" s="271">
        <v>4.5999999999999999E-3</v>
      </c>
      <c r="AS8" s="232">
        <f t="shared" ref="AS8:AS14" si="32">Q8*AR8</f>
        <v>1.0579999999999999E-2</v>
      </c>
      <c r="AT8" s="233">
        <f t="shared" si="18"/>
        <v>10.579999999999998</v>
      </c>
      <c r="AU8" s="226"/>
      <c r="AV8" s="227"/>
      <c r="AW8" s="234"/>
      <c r="AX8" s="232"/>
      <c r="AY8" s="233"/>
      <c r="AZ8" s="230">
        <f t="shared" si="19"/>
        <v>0.14811999999999997</v>
      </c>
      <c r="BA8" s="230">
        <f t="shared" si="20"/>
        <v>0.14811999999999997</v>
      </c>
      <c r="BB8" s="226">
        <v>5.4</v>
      </c>
      <c r="BC8" s="233">
        <f t="shared" si="5"/>
        <v>0</v>
      </c>
      <c r="BD8" s="226"/>
      <c r="BE8" s="232">
        <f>(BC8+BD8)/1000</f>
        <v>0</v>
      </c>
      <c r="BF8" s="229">
        <f t="shared" si="21"/>
        <v>0</v>
      </c>
      <c r="BG8" s="229">
        <f t="shared" si="22"/>
        <v>1</v>
      </c>
      <c r="BH8" s="248">
        <f t="shared" si="23"/>
        <v>0.14811999999999997</v>
      </c>
      <c r="BI8" s="235">
        <f t="shared" si="24"/>
        <v>1.0579999999999997E-2</v>
      </c>
      <c r="BJ8" s="164">
        <f>BI8/J8*1000*'Notes and Look Up'!$B$21</f>
        <v>8.478331701587298E-2</v>
      </c>
      <c r="BK8" s="230">
        <f>BH8*'Notes and Look Up'!$B$21</f>
        <v>0.33919479999999996</v>
      </c>
      <c r="BL8" s="230">
        <f t="shared" si="7"/>
        <v>8.8432929999999992</v>
      </c>
      <c r="BM8" s="131">
        <f t="shared" si="8"/>
        <v>0</v>
      </c>
      <c r="BN8" s="172">
        <f>BM8*'Notes and Look Up'!$B$18</f>
        <v>0</v>
      </c>
      <c r="BP8" s="3"/>
      <c r="BQ8" s="124"/>
    </row>
    <row r="9" spans="1:69" s="7" customFormat="1" ht="15" hidden="1" customHeight="1" x14ac:dyDescent="0.4">
      <c r="A9" s="170" t="s">
        <v>225</v>
      </c>
      <c r="B9" s="159" t="s">
        <v>12</v>
      </c>
      <c r="C9" s="282">
        <f>VLOOKUP(B9,'Notes and Look Up'!$A$1:$B$11,2,0)</f>
        <v>0.3</v>
      </c>
      <c r="D9" s="67"/>
      <c r="E9" s="267">
        <v>340</v>
      </c>
      <c r="F9" s="267">
        <v>447</v>
      </c>
      <c r="G9" s="227">
        <f t="shared" si="9"/>
        <v>393.5</v>
      </c>
      <c r="H9" s="238">
        <f>E9/'Notes and Look Up'!$B$18</f>
        <v>154.22298829719676</v>
      </c>
      <c r="I9" s="238">
        <f>F9/'Notes and Look Up'!$B$18</f>
        <v>202.75786990837338</v>
      </c>
      <c r="J9" s="238">
        <f t="shared" si="10"/>
        <v>178.49042910278507</v>
      </c>
      <c r="K9" s="224">
        <f t="shared" si="25"/>
        <v>201.04464483352982</v>
      </c>
      <c r="L9" s="224">
        <f>(I9-H9)+(1.4*13.2)</f>
        <v>67.014881611176605</v>
      </c>
      <c r="M9" s="140">
        <v>121</v>
      </c>
      <c r="N9" s="140">
        <v>3</v>
      </c>
      <c r="O9" s="227">
        <v>405</v>
      </c>
      <c r="P9" s="227">
        <f t="shared" ref="P9:P14" si="33">M9*N9</f>
        <v>363</v>
      </c>
      <c r="Q9" s="15">
        <v>2.2999999999999998</v>
      </c>
      <c r="R9" s="226" t="s">
        <v>47</v>
      </c>
      <c r="S9" s="269">
        <v>0.14000000000000001</v>
      </c>
      <c r="T9" s="226">
        <f t="shared" si="27"/>
        <v>322</v>
      </c>
      <c r="U9" s="226">
        <f t="shared" si="28"/>
        <v>38962</v>
      </c>
      <c r="V9" s="227">
        <f>U9/'Notes and Look Up'!$A$24</f>
        <v>6233.92</v>
      </c>
      <c r="W9" s="226"/>
      <c r="X9" s="226"/>
      <c r="Y9" s="226"/>
      <c r="Z9" s="226"/>
      <c r="AA9" s="226"/>
      <c r="AB9" s="226"/>
      <c r="AC9" s="227">
        <f t="shared" si="12"/>
        <v>6233.92</v>
      </c>
      <c r="AD9" s="230">
        <f t="shared" si="13"/>
        <v>6.2339200000000003</v>
      </c>
      <c r="AE9" s="226">
        <v>26</v>
      </c>
      <c r="AF9" s="227">
        <f t="shared" si="0"/>
        <v>1742.3869218905918</v>
      </c>
      <c r="AG9" s="226"/>
      <c r="AH9" s="227">
        <f t="shared" si="14"/>
        <v>1742.3869218905918</v>
      </c>
      <c r="AI9" s="230">
        <f t="shared" si="15"/>
        <v>1.7423869218905919</v>
      </c>
      <c r="AJ9" s="229">
        <f t="shared" si="16"/>
        <v>0.27950100769509262</v>
      </c>
      <c r="AK9" s="229">
        <f t="shared" si="17"/>
        <v>0.72049899230490744</v>
      </c>
      <c r="AL9" s="232">
        <f t="shared" si="29"/>
        <v>4.4915330781094092</v>
      </c>
      <c r="AM9" s="232">
        <f t="shared" si="30"/>
        <v>0.20796693845232977</v>
      </c>
      <c r="AN9" s="230">
        <f t="shared" si="31"/>
        <v>13.474599234328227</v>
      </c>
      <c r="AO9" s="230">
        <f t="shared" si="4"/>
        <v>0</v>
      </c>
      <c r="AP9" s="265">
        <f>(1-(VLOOKUP(B9,'Notes and Look Up'!$A$2:$B$9,2,0)))*AO9</f>
        <v>0</v>
      </c>
      <c r="AQ9" s="171">
        <f>AP9*'Notes and Look Up'!$B$18</f>
        <v>0</v>
      </c>
      <c r="AR9" s="272">
        <v>5.3E-3</v>
      </c>
      <c r="AS9" s="232">
        <f t="shared" si="32"/>
        <v>1.2189999999999999E-2</v>
      </c>
      <c r="AT9" s="233">
        <f t="shared" si="18"/>
        <v>12.19</v>
      </c>
      <c r="AU9" s="226"/>
      <c r="AV9" s="226"/>
      <c r="AW9" s="226"/>
      <c r="AX9" s="226"/>
      <c r="AY9" s="226"/>
      <c r="AZ9" s="230">
        <f t="shared" si="19"/>
        <v>1.47499</v>
      </c>
      <c r="BA9" s="230">
        <f t="shared" si="20"/>
        <v>1.47499</v>
      </c>
      <c r="BB9" s="226">
        <v>5.3</v>
      </c>
      <c r="BC9" s="233">
        <f t="shared" si="5"/>
        <v>355.17887253923601</v>
      </c>
      <c r="BD9" s="226"/>
      <c r="BE9" s="232">
        <f t="shared" ref="BE9:BE14" si="34">(BC9+BD9)/1000</f>
        <v>0.35517887253923602</v>
      </c>
      <c r="BF9" s="229">
        <f t="shared" si="21"/>
        <v>0.2408008681680798</v>
      </c>
      <c r="BG9" s="229">
        <f t="shared" si="22"/>
        <v>0.75919913183192023</v>
      </c>
      <c r="BH9" s="248">
        <f t="shared" si="23"/>
        <v>1.1198111274607641</v>
      </c>
      <c r="BI9" s="235">
        <f t="shared" si="24"/>
        <v>9.2546374170311071E-3</v>
      </c>
      <c r="BJ9" s="164">
        <f>BI9/J9*1000*'Notes and Look Up'!$B$21</f>
        <v>0.11873532822758252</v>
      </c>
      <c r="BK9" s="230">
        <f>BH9*'Notes and Look Up'!$B$21</f>
        <v>2.5643674818851498</v>
      </c>
      <c r="BL9" s="230">
        <f t="shared" si="7"/>
        <v>7.69310244565545</v>
      </c>
      <c r="BM9" s="131">
        <f t="shared" si="8"/>
        <v>0</v>
      </c>
      <c r="BN9" s="172">
        <f>BM9*'Notes and Look Up'!$B$18</f>
        <v>0</v>
      </c>
      <c r="BP9" s="3"/>
      <c r="BQ9" s="124"/>
    </row>
    <row r="10" spans="1:69" s="7" customFormat="1" ht="15" customHeight="1" x14ac:dyDescent="0.4">
      <c r="A10" s="170" t="s">
        <v>262</v>
      </c>
      <c r="B10" s="159" t="s">
        <v>12</v>
      </c>
      <c r="C10" s="282">
        <f>VLOOKUP(B10,'Notes and Look Up'!$A$1:$B$11,2,0)</f>
        <v>0.3</v>
      </c>
      <c r="D10" s="67"/>
      <c r="E10" s="267">
        <v>280</v>
      </c>
      <c r="F10" s="267">
        <v>340</v>
      </c>
      <c r="G10" s="227">
        <f t="shared" si="9"/>
        <v>310</v>
      </c>
      <c r="H10" s="238">
        <f>E10/'Notes and Look Up'!$B$18</f>
        <v>127.00716683298558</v>
      </c>
      <c r="I10" s="238">
        <f>F10/'Notes and Look Up'!$B$18</f>
        <v>154.22298829719676</v>
      </c>
      <c r="J10" s="238">
        <f t="shared" si="10"/>
        <v>140.61507756509116</v>
      </c>
      <c r="K10" s="224">
        <f t="shared" si="25"/>
        <v>353.80567903474548</v>
      </c>
      <c r="L10" s="224">
        <f>(I10-H10)</f>
        <v>27.215821464211189</v>
      </c>
      <c r="M10" s="140">
        <v>28</v>
      </c>
      <c r="N10" s="143">
        <v>13</v>
      </c>
      <c r="O10" s="227">
        <f>(L10/M10)*1000</f>
        <v>971.99362372182816</v>
      </c>
      <c r="P10" s="227">
        <f t="shared" si="33"/>
        <v>364</v>
      </c>
      <c r="Q10" s="15">
        <v>3.2</v>
      </c>
      <c r="R10" s="226" t="s">
        <v>47</v>
      </c>
      <c r="S10" s="269">
        <v>0.16</v>
      </c>
      <c r="T10" s="226">
        <f t="shared" si="27"/>
        <v>512</v>
      </c>
      <c r="U10" s="226">
        <f t="shared" si="28"/>
        <v>14336</v>
      </c>
      <c r="V10" s="227">
        <f>U10/'Notes and Look Up'!$A$24</f>
        <v>2293.7600000000002</v>
      </c>
      <c r="W10" s="226"/>
      <c r="X10" s="226"/>
      <c r="Y10" s="226"/>
      <c r="Z10" s="226"/>
      <c r="AA10" s="226"/>
      <c r="AB10" s="226"/>
      <c r="AC10" s="227">
        <f t="shared" si="12"/>
        <v>2293.7600000000002</v>
      </c>
      <c r="AD10" s="230">
        <f t="shared" si="13"/>
        <v>2.2937600000000002</v>
      </c>
      <c r="AE10" s="226">
        <v>26</v>
      </c>
      <c r="AF10" s="227">
        <f t="shared" si="0"/>
        <v>707.61135806949096</v>
      </c>
      <c r="AG10" s="226"/>
      <c r="AH10" s="227">
        <f t="shared" si="14"/>
        <v>707.61135806949096</v>
      </c>
      <c r="AI10" s="230">
        <f t="shared" si="15"/>
        <v>0.70761135806949094</v>
      </c>
      <c r="AJ10" s="229">
        <f t="shared" si="16"/>
        <v>0.3084940700289005</v>
      </c>
      <c r="AK10" s="229">
        <f t="shared" si="17"/>
        <v>0.6915059299710995</v>
      </c>
      <c r="AL10" s="232">
        <f t="shared" si="29"/>
        <v>1.5861486419305093</v>
      </c>
      <c r="AM10" s="232">
        <f t="shared" si="30"/>
        <v>0.40285982672811071</v>
      </c>
      <c r="AN10" s="230">
        <f t="shared" si="31"/>
        <v>20.619932345096622</v>
      </c>
      <c r="AO10" s="230">
        <f t="shared" si="4"/>
        <v>0</v>
      </c>
      <c r="AP10" s="265">
        <f>(1-(VLOOKUP(B10,'Notes and Look Up'!$A$2:$B$9,2,0)))*AO10</f>
        <v>0</v>
      </c>
      <c r="AQ10" s="171">
        <f>AP10*'Notes and Look Up'!$B$18</f>
        <v>0</v>
      </c>
      <c r="AR10" s="271">
        <v>4.5999999999999999E-3</v>
      </c>
      <c r="AS10" s="232">
        <f t="shared" si="32"/>
        <v>1.472E-2</v>
      </c>
      <c r="AT10" s="233">
        <f t="shared" si="18"/>
        <v>14.72</v>
      </c>
      <c r="AU10" s="226"/>
      <c r="AV10" s="226"/>
      <c r="AW10" s="226"/>
      <c r="AX10" s="226"/>
      <c r="AY10" s="226"/>
      <c r="AZ10" s="230">
        <f t="shared" si="19"/>
        <v>0.41216000000000003</v>
      </c>
      <c r="BA10" s="230">
        <f t="shared" si="20"/>
        <v>0.41216000000000003</v>
      </c>
      <c r="BB10" s="226">
        <v>5.3</v>
      </c>
      <c r="BC10" s="233">
        <f t="shared" si="5"/>
        <v>144.2438537603193</v>
      </c>
      <c r="BD10" s="226"/>
      <c r="BE10" s="232">
        <f t="shared" si="34"/>
        <v>0.14424385376031928</v>
      </c>
      <c r="BF10" s="229">
        <f t="shared" si="21"/>
        <v>0.34997053028027775</v>
      </c>
      <c r="BG10" s="229">
        <f t="shared" si="22"/>
        <v>0.6500294697197222</v>
      </c>
      <c r="BH10" s="248">
        <f t="shared" si="23"/>
        <v>0.26791614623968074</v>
      </c>
      <c r="BI10" s="235">
        <f t="shared" si="24"/>
        <v>9.5684337942743124E-3</v>
      </c>
      <c r="BJ10" s="164">
        <f>BI10/J10*1000*'Notes and Look Up'!$B$21</f>
        <v>0.15582762366820282</v>
      </c>
      <c r="BK10" s="230">
        <f>BH10*'Notes and Look Up'!$B$21</f>
        <v>0.6135279748888689</v>
      </c>
      <c r="BL10" s="230">
        <f t="shared" si="7"/>
        <v>7.9758636735552955</v>
      </c>
      <c r="BM10" s="131">
        <f t="shared" si="8"/>
        <v>0</v>
      </c>
      <c r="BN10" s="172">
        <f>BM10*'Notes and Look Up'!$B$18</f>
        <v>0</v>
      </c>
      <c r="BP10" s="3"/>
      <c r="BQ10" s="124"/>
    </row>
    <row r="11" spans="1:69" s="7" customFormat="1" ht="15" customHeight="1" x14ac:dyDescent="0.4">
      <c r="A11" s="170" t="s">
        <v>82</v>
      </c>
      <c r="B11" s="159" t="s">
        <v>12</v>
      </c>
      <c r="C11" s="282">
        <f>VLOOKUP(B11,'Notes and Look Up'!$A$1:$B$11,2,0)</f>
        <v>0.3</v>
      </c>
      <c r="D11" s="67"/>
      <c r="E11" s="267">
        <v>270</v>
      </c>
      <c r="F11" s="267">
        <v>660</v>
      </c>
      <c r="G11" s="227">
        <f t="shared" si="9"/>
        <v>465</v>
      </c>
      <c r="H11" s="238">
        <f>E11/'Notes and Look Up'!$B$18</f>
        <v>122.47119658895036</v>
      </c>
      <c r="I11" s="238">
        <f>F11/'Notes and Look Up'!$B$18</f>
        <v>299.3740361063231</v>
      </c>
      <c r="J11" s="238">
        <f t="shared" si="10"/>
        <v>210.92261634763673</v>
      </c>
      <c r="K11" s="224">
        <f t="shared" si="25"/>
        <v>58.967613172457582</v>
      </c>
      <c r="L11" s="224">
        <f>(I11-H11)/3</f>
        <v>58.967613172457582</v>
      </c>
      <c r="M11" s="140">
        <v>365</v>
      </c>
      <c r="N11" s="140">
        <v>1</v>
      </c>
      <c r="O11" s="227">
        <f>(L11/M11)*1000</f>
        <v>161.55510458207556</v>
      </c>
      <c r="P11" s="227">
        <f t="shared" si="33"/>
        <v>365</v>
      </c>
      <c r="Q11" s="15">
        <v>2.5</v>
      </c>
      <c r="R11" s="226" t="s">
        <v>47</v>
      </c>
      <c r="S11" s="269">
        <v>0.14000000000000001</v>
      </c>
      <c r="T11" s="226">
        <f t="shared" si="27"/>
        <v>350.00000000000006</v>
      </c>
      <c r="U11" s="226">
        <f t="shared" si="28"/>
        <v>127750.00000000001</v>
      </c>
      <c r="V11" s="227">
        <f>U11/'Notes and Look Up'!$A$24</f>
        <v>20440.000000000004</v>
      </c>
      <c r="W11" s="226"/>
      <c r="X11" s="226"/>
      <c r="Y11" s="226"/>
      <c r="Z11" s="226"/>
      <c r="AA11" s="226"/>
      <c r="AB11" s="226"/>
      <c r="AC11" s="227">
        <f t="shared" si="12"/>
        <v>20440.000000000004</v>
      </c>
      <c r="AD11" s="230">
        <f t="shared" si="13"/>
        <v>20.440000000000005</v>
      </c>
      <c r="AE11" s="226">
        <v>26</v>
      </c>
      <c r="AF11" s="227">
        <f t="shared" si="0"/>
        <v>1533.1579424838972</v>
      </c>
      <c r="AG11" s="226"/>
      <c r="AH11" s="227">
        <f t="shared" si="14"/>
        <v>1533.1579424838972</v>
      </c>
      <c r="AI11" s="230">
        <f t="shared" si="15"/>
        <v>1.5331579424838973</v>
      </c>
      <c r="AJ11" s="229">
        <f t="shared" si="16"/>
        <v>7.5007727127392218E-2</v>
      </c>
      <c r="AK11" s="229">
        <f t="shared" si="17"/>
        <v>0.92499227287260777</v>
      </c>
      <c r="AL11" s="232">
        <f t="shared" si="29"/>
        <v>18.906842057516108</v>
      </c>
      <c r="AM11" s="232">
        <f t="shared" si="30"/>
        <v>0.2455856473707469</v>
      </c>
      <c r="AN11" s="230">
        <f t="shared" si="31"/>
        <v>18.906842057516108</v>
      </c>
      <c r="AO11" s="230">
        <f t="shared" si="4"/>
        <v>0</v>
      </c>
      <c r="AP11" s="265">
        <f>(1-(VLOOKUP(B11,'Notes and Look Up'!$A$2:$B$9,2,0)))*AO11</f>
        <v>0</v>
      </c>
      <c r="AQ11" s="171">
        <f>AP11*'Notes and Look Up'!$B$18</f>
        <v>0</v>
      </c>
      <c r="AR11" s="271">
        <v>4.5999999999999999E-3</v>
      </c>
      <c r="AS11" s="232">
        <f t="shared" si="32"/>
        <v>1.15E-2</v>
      </c>
      <c r="AT11" s="233">
        <f t="shared" si="18"/>
        <v>11.5</v>
      </c>
      <c r="AU11" s="226"/>
      <c r="AV11" s="226"/>
      <c r="AW11" s="226"/>
      <c r="AX11" s="226"/>
      <c r="AY11" s="226"/>
      <c r="AZ11" s="230">
        <f t="shared" si="19"/>
        <v>4.1974999999999998</v>
      </c>
      <c r="BA11" s="230">
        <f t="shared" si="20"/>
        <v>4.1974999999999998</v>
      </c>
      <c r="BB11" s="226">
        <v>5.3</v>
      </c>
      <c r="BC11" s="233">
        <f t="shared" si="5"/>
        <v>312.5283498140252</v>
      </c>
      <c r="BD11" s="226"/>
      <c r="BE11" s="232">
        <f t="shared" si="34"/>
        <v>0.31252834981402522</v>
      </c>
      <c r="BF11" s="229">
        <f t="shared" si="21"/>
        <v>7.4455830807391363E-2</v>
      </c>
      <c r="BG11" s="229">
        <f t="shared" si="22"/>
        <v>0.92554416919260862</v>
      </c>
      <c r="BH11" s="248">
        <f t="shared" si="23"/>
        <v>3.8849716501859746</v>
      </c>
      <c r="BI11" s="235">
        <f t="shared" si="24"/>
        <v>1.0643757945715E-2</v>
      </c>
      <c r="BJ11" s="164">
        <f>BI11/J11*1000*'Notes and Look Up'!$B$21</f>
        <v>0.11555994382088673</v>
      </c>
      <c r="BK11" s="230">
        <f>BH11*'Notes and Look Up'!$B$21</f>
        <v>8.8965850789258827</v>
      </c>
      <c r="BL11" s="230">
        <f t="shared" si="7"/>
        <v>8.8965850789258827</v>
      </c>
      <c r="BM11" s="131">
        <f t="shared" si="8"/>
        <v>0</v>
      </c>
      <c r="BN11" s="172">
        <f>BM11*'Notes and Look Up'!$B$18</f>
        <v>0</v>
      </c>
      <c r="BP11" s="3"/>
      <c r="BQ11" s="124"/>
    </row>
    <row r="12" spans="1:69" s="7" customFormat="1" ht="15" customHeight="1" x14ac:dyDescent="0.4">
      <c r="A12" s="170"/>
      <c r="B12" s="159"/>
      <c r="C12" s="282"/>
      <c r="D12" s="67"/>
      <c r="E12" s="267"/>
      <c r="F12" s="267"/>
      <c r="G12" s="227"/>
      <c r="H12" s="238"/>
      <c r="I12" s="238"/>
      <c r="J12" s="238"/>
      <c r="K12" s="224"/>
      <c r="L12" s="224"/>
      <c r="M12" s="140"/>
      <c r="N12" s="140"/>
      <c r="O12" s="227"/>
      <c r="P12" s="227"/>
      <c r="Q12" s="15"/>
      <c r="R12" s="226"/>
      <c r="S12" s="269"/>
      <c r="T12" s="226"/>
      <c r="U12" s="226"/>
      <c r="V12" s="227"/>
      <c r="W12" s="226"/>
      <c r="X12" s="226"/>
      <c r="Y12" s="226"/>
      <c r="Z12" s="226"/>
      <c r="AA12" s="226"/>
      <c r="AB12" s="226"/>
      <c r="AC12" s="227"/>
      <c r="AD12" s="230"/>
      <c r="AE12" s="226"/>
      <c r="AF12" s="227"/>
      <c r="AG12" s="226"/>
      <c r="AH12" s="227"/>
      <c r="AI12" s="230"/>
      <c r="AJ12" s="229"/>
      <c r="AK12" s="229"/>
      <c r="AL12" s="232"/>
      <c r="AM12" s="232"/>
      <c r="AN12" s="230"/>
      <c r="AO12" s="230"/>
      <c r="AP12" s="265"/>
      <c r="AQ12" s="171"/>
      <c r="AR12" s="271"/>
      <c r="AS12" s="232"/>
      <c r="AT12" s="233"/>
      <c r="AU12" s="226"/>
      <c r="AV12" s="226"/>
      <c r="AW12" s="226"/>
      <c r="AX12" s="226"/>
      <c r="AY12" s="226"/>
      <c r="AZ12" s="230"/>
      <c r="BA12" s="230"/>
      <c r="BB12" s="226"/>
      <c r="BC12" s="233"/>
      <c r="BD12" s="226"/>
      <c r="BE12" s="232"/>
      <c r="BF12" s="229"/>
      <c r="BG12" s="229"/>
      <c r="BH12" s="248"/>
      <c r="BI12" s="235"/>
      <c r="BJ12" s="164"/>
      <c r="BK12" s="230"/>
      <c r="BL12" s="230"/>
      <c r="BM12" s="131"/>
      <c r="BN12" s="172"/>
      <c r="BP12" s="3"/>
      <c r="BQ12" s="124"/>
    </row>
    <row r="13" spans="1:69" ht="15" customHeight="1" x14ac:dyDescent="0.4">
      <c r="A13" s="127" t="s">
        <v>394</v>
      </c>
      <c r="B13" s="159" t="s">
        <v>12</v>
      </c>
      <c r="C13" s="282">
        <f>VLOOKUP(B13,'Notes and Look Up'!$A$1:$B$11,2,0)</f>
        <v>0.3</v>
      </c>
      <c r="D13" s="67"/>
      <c r="E13" s="268">
        <v>13.639999999999999</v>
      </c>
      <c r="F13" s="268">
        <v>61.600000000000009</v>
      </c>
      <c r="G13" s="227">
        <f t="shared" si="9"/>
        <v>37.620000000000005</v>
      </c>
      <c r="H13" s="224">
        <f>E13/'Notes and Look Up'!$B$18</f>
        <v>6.1870634128640107</v>
      </c>
      <c r="I13" s="238">
        <f>F13/'Notes and Look Up'!$B$18</f>
        <v>27.941576703256828</v>
      </c>
      <c r="J13" s="238">
        <f t="shared" si="10"/>
        <v>17.064320058060421</v>
      </c>
      <c r="K13" s="224">
        <f t="shared" ref="K13:K14" si="35">L13*N13</f>
        <v>150.10614170371045</v>
      </c>
      <c r="L13" s="224">
        <f>(I13-H13)</f>
        <v>21.754513290392818</v>
      </c>
      <c r="M13" s="140">
        <v>52</v>
      </c>
      <c r="N13" s="140">
        <v>6.9</v>
      </c>
      <c r="O13" s="227">
        <f>(L13/M13)*1000</f>
        <v>418.35602481524654</v>
      </c>
      <c r="P13" s="227">
        <f t="shared" si="33"/>
        <v>358.8</v>
      </c>
      <c r="Q13" s="263">
        <f>R13/M13</f>
        <v>0.65384615384615385</v>
      </c>
      <c r="R13" s="223">
        <v>34</v>
      </c>
      <c r="S13" s="270">
        <v>0.2</v>
      </c>
      <c r="T13" s="227">
        <f t="shared" si="27"/>
        <v>130.76923076923077</v>
      </c>
      <c r="U13" s="226">
        <f t="shared" si="28"/>
        <v>6800</v>
      </c>
      <c r="V13" s="227">
        <f>U13/'Notes and Look Up'!$A$24</f>
        <v>1088</v>
      </c>
      <c r="W13" s="225"/>
      <c r="X13" s="225"/>
      <c r="Y13" s="225"/>
      <c r="Z13" s="225"/>
      <c r="AA13" s="225"/>
      <c r="AB13" s="225"/>
      <c r="AC13" s="227">
        <f t="shared" si="12"/>
        <v>1088</v>
      </c>
      <c r="AD13" s="230">
        <f t="shared" si="13"/>
        <v>1.0880000000000001</v>
      </c>
      <c r="AE13" s="226">
        <v>26</v>
      </c>
      <c r="AF13" s="227">
        <f t="shared" si="0"/>
        <v>565.61734555021326</v>
      </c>
      <c r="AG13" s="225"/>
      <c r="AH13" s="227">
        <f t="shared" si="14"/>
        <v>565.61734555021326</v>
      </c>
      <c r="AI13" s="230">
        <f t="shared" si="15"/>
        <v>0.56561734555021326</v>
      </c>
      <c r="AJ13" s="229">
        <f t="shared" si="16"/>
        <v>0.51986888377776952</v>
      </c>
      <c r="AK13" s="229">
        <f t="shared" si="17"/>
        <v>0.48013111622223048</v>
      </c>
      <c r="AL13" s="232">
        <f t="shared" si="29"/>
        <v>0.52238265444978682</v>
      </c>
      <c r="AM13" s="232">
        <f t="shared" si="30"/>
        <v>0.58870322659796337</v>
      </c>
      <c r="AN13" s="230">
        <f t="shared" si="31"/>
        <v>3.6044403157035294</v>
      </c>
      <c r="AO13" s="230">
        <f t="shared" si="4"/>
        <v>0</v>
      </c>
      <c r="AP13" s="265">
        <f>(1-(VLOOKUP(B13,'Notes and Look Up'!$A$2:$B$9,2,0)))*AO13</f>
        <v>0</v>
      </c>
      <c r="AQ13" s="171">
        <f>AP13*'Notes and Look Up'!$B$18</f>
        <v>0</v>
      </c>
      <c r="AR13" s="271">
        <v>6.4000000000000003E-3</v>
      </c>
      <c r="AS13" s="232">
        <f t="shared" si="32"/>
        <v>4.1846153846153847E-3</v>
      </c>
      <c r="AT13" s="233">
        <f t="shared" si="18"/>
        <v>4.1846153846153848</v>
      </c>
      <c r="AU13" s="225"/>
      <c r="AV13" s="225"/>
      <c r="AW13" s="225"/>
      <c r="AX13" s="225"/>
      <c r="AY13" s="225"/>
      <c r="AZ13" s="230">
        <f t="shared" si="19"/>
        <v>0.21760000000000002</v>
      </c>
      <c r="BA13" s="230">
        <f t="shared" si="20"/>
        <v>0.21760000000000002</v>
      </c>
      <c r="BB13" s="226">
        <v>5.3</v>
      </c>
      <c r="BC13" s="233">
        <f t="shared" si="5"/>
        <v>115.29892043908194</v>
      </c>
      <c r="BD13" s="225"/>
      <c r="BE13" s="232">
        <f t="shared" si="34"/>
        <v>0.11529892043908194</v>
      </c>
      <c r="BF13" s="229">
        <f t="shared" si="21"/>
        <v>0.52986636231195738</v>
      </c>
      <c r="BG13" s="229">
        <f t="shared" si="22"/>
        <v>0.47013363768804262</v>
      </c>
      <c r="BH13" s="248">
        <f t="shared" si="23"/>
        <v>0.10230107956091808</v>
      </c>
      <c r="BI13" s="235">
        <f t="shared" si="24"/>
        <v>1.9673284530945783E-3</v>
      </c>
      <c r="BJ13" s="164">
        <f>BI13/J13*1000*'Notes and Look Up'!$B$21</f>
        <v>0.26401181777287036</v>
      </c>
      <c r="BK13" s="230">
        <f>BH13*'Notes and Look Up'!$B$21</f>
        <v>0.23426947219450239</v>
      </c>
      <c r="BL13" s="230">
        <f t="shared" si="7"/>
        <v>1.6164593581420665</v>
      </c>
      <c r="BM13" s="131">
        <f t="shared" si="8"/>
        <v>0</v>
      </c>
      <c r="BN13" s="172">
        <f>BM13*'Notes and Look Up'!$B$18</f>
        <v>0</v>
      </c>
      <c r="BO13" s="264"/>
      <c r="BP13" s="264"/>
      <c r="BQ13" s="124"/>
    </row>
    <row r="14" spans="1:69" ht="15" customHeight="1" x14ac:dyDescent="0.4">
      <c r="A14" s="127" t="s">
        <v>146</v>
      </c>
      <c r="B14" s="159" t="s">
        <v>12</v>
      </c>
      <c r="C14" s="282">
        <f>VLOOKUP(B14,'Notes and Look Up'!$A$1:$B$11,2,0)</f>
        <v>0.3</v>
      </c>
      <c r="D14" s="67"/>
      <c r="E14" s="268">
        <v>61.600000000000009</v>
      </c>
      <c r="F14" s="267">
        <v>280</v>
      </c>
      <c r="G14" s="227">
        <f t="shared" si="9"/>
        <v>170.8</v>
      </c>
      <c r="H14" s="238">
        <f>E14/'Notes and Look Up'!$B$18</f>
        <v>27.941576703256828</v>
      </c>
      <c r="I14" s="238">
        <f>F14/'Notes and Look Up'!$B$18</f>
        <v>127.00716683298558</v>
      </c>
      <c r="J14" s="238">
        <f t="shared" si="10"/>
        <v>77.474371768121202</v>
      </c>
      <c r="K14" s="224">
        <f t="shared" si="35"/>
        <v>297.19677038918621</v>
      </c>
      <c r="L14" s="224">
        <f>(I14-H14)</f>
        <v>99.065590129728747</v>
      </c>
      <c r="M14" s="140">
        <v>112</v>
      </c>
      <c r="N14" s="161">
        <v>3</v>
      </c>
      <c r="O14" s="227">
        <f>(L14/M14)*1000</f>
        <v>884.51419758686382</v>
      </c>
      <c r="P14" s="227">
        <f t="shared" si="33"/>
        <v>336</v>
      </c>
      <c r="Q14" s="263">
        <f>R14/M14</f>
        <v>2.75</v>
      </c>
      <c r="R14" s="223">
        <v>308</v>
      </c>
      <c r="S14" s="270">
        <v>0.16</v>
      </c>
      <c r="T14" s="227">
        <f t="shared" si="27"/>
        <v>440</v>
      </c>
      <c r="U14" s="226">
        <f t="shared" si="28"/>
        <v>49280</v>
      </c>
      <c r="V14" s="227">
        <f>U14/'Notes and Look Up'!$A$24</f>
        <v>7884.8</v>
      </c>
      <c r="W14" s="225"/>
      <c r="X14" s="225"/>
      <c r="Y14" s="225"/>
      <c r="Z14" s="225"/>
      <c r="AA14" s="225"/>
      <c r="AB14" s="225"/>
      <c r="AC14" s="227">
        <f t="shared" si="12"/>
        <v>7884.8</v>
      </c>
      <c r="AD14" s="230">
        <f t="shared" si="13"/>
        <v>7.8848000000000003</v>
      </c>
      <c r="AE14" s="226">
        <v>26</v>
      </c>
      <c r="AF14" s="227">
        <f t="shared" si="0"/>
        <v>2575.7053433729475</v>
      </c>
      <c r="AG14" s="225"/>
      <c r="AH14" s="227">
        <f t="shared" si="14"/>
        <v>2575.7053433729475</v>
      </c>
      <c r="AI14" s="230">
        <f t="shared" si="15"/>
        <v>2.5757053433729475</v>
      </c>
      <c r="AJ14" s="229">
        <f t="shared" si="16"/>
        <v>0.32666717524514854</v>
      </c>
      <c r="AK14" s="229">
        <f t="shared" si="17"/>
        <v>0.67333282475485146</v>
      </c>
      <c r="AL14" s="232">
        <f t="shared" si="29"/>
        <v>5.3090946566270532</v>
      </c>
      <c r="AM14" s="232">
        <f t="shared" si="30"/>
        <v>0.61184918032786884</v>
      </c>
      <c r="AN14" s="230">
        <f t="shared" si="31"/>
        <v>15.927283969881159</v>
      </c>
      <c r="AO14" s="230">
        <f t="shared" si="4"/>
        <v>0</v>
      </c>
      <c r="AP14" s="265">
        <f>(1-(VLOOKUP(B14,'Notes and Look Up'!$A$2:$B$9,2,0)))*AO14</f>
        <v>0</v>
      </c>
      <c r="AQ14" s="171">
        <f>AP14*'Notes and Look Up'!$B$18</f>
        <v>0</v>
      </c>
      <c r="AR14" s="271">
        <v>4.5999999999999999E-3</v>
      </c>
      <c r="AS14" s="232">
        <f t="shared" si="32"/>
        <v>1.265E-2</v>
      </c>
      <c r="AT14" s="233">
        <f t="shared" si="18"/>
        <v>12.65</v>
      </c>
      <c r="AU14" s="225"/>
      <c r="AV14" s="225"/>
      <c r="AW14" s="225"/>
      <c r="AX14" s="225"/>
      <c r="AY14" s="225"/>
      <c r="AZ14" s="230">
        <f t="shared" si="19"/>
        <v>1.4168000000000001</v>
      </c>
      <c r="BA14" s="230">
        <f t="shared" si="20"/>
        <v>1.4168000000000001</v>
      </c>
      <c r="BB14" s="226">
        <v>5.3</v>
      </c>
      <c r="BC14" s="233">
        <f t="shared" si="5"/>
        <v>525.04762768756234</v>
      </c>
      <c r="BD14" s="225"/>
      <c r="BE14" s="232">
        <f t="shared" si="34"/>
        <v>0.5250476276875623</v>
      </c>
      <c r="BF14" s="229">
        <f t="shared" si="21"/>
        <v>0.37058697606406144</v>
      </c>
      <c r="BG14" s="229">
        <f t="shared" si="22"/>
        <v>0.62941302393593856</v>
      </c>
      <c r="BH14" s="248">
        <f t="shared" si="23"/>
        <v>0.89175237231243776</v>
      </c>
      <c r="BI14" s="235">
        <f t="shared" si="24"/>
        <v>7.9620747527896236E-3</v>
      </c>
      <c r="BJ14" s="164">
        <f>BI14/J14*1000*'Notes and Look Up'!$B$21</f>
        <v>0.23534429215456679</v>
      </c>
      <c r="BK14" s="230">
        <f>BH14*'Notes and Look Up'!$B$21</f>
        <v>2.0421129325954825</v>
      </c>
      <c r="BL14" s="230">
        <f t="shared" si="7"/>
        <v>6.1263387977864472</v>
      </c>
      <c r="BM14" s="131">
        <f t="shared" si="8"/>
        <v>0</v>
      </c>
      <c r="BN14" s="172">
        <f>BM14*'Notes and Look Up'!$B$18</f>
        <v>0</v>
      </c>
      <c r="BO14" s="264"/>
      <c r="BP14" s="264"/>
      <c r="BQ14" s="124"/>
    </row>
    <row r="15" spans="1:69" s="7" customFormat="1" ht="15" customHeight="1" x14ac:dyDescent="0.3">
      <c r="A15" s="170"/>
      <c r="B15" s="159"/>
      <c r="C15" s="282"/>
      <c r="D15" s="129"/>
      <c r="E15" s="237"/>
      <c r="F15" s="237"/>
      <c r="G15" s="226"/>
      <c r="H15" s="225"/>
      <c r="I15" s="225"/>
      <c r="J15" s="225"/>
      <c r="K15" s="226"/>
      <c r="L15" s="226"/>
      <c r="M15" s="140"/>
      <c r="N15" s="140"/>
      <c r="O15" s="226"/>
      <c r="P15" s="227"/>
      <c r="Q15" s="237"/>
      <c r="R15" s="226"/>
      <c r="S15" s="237"/>
      <c r="T15" s="226"/>
      <c r="U15" s="226"/>
      <c r="V15" s="226"/>
      <c r="W15" s="226"/>
      <c r="X15" s="226"/>
      <c r="Y15" s="226"/>
      <c r="Z15" s="226"/>
      <c r="AA15" s="226"/>
      <c r="AB15" s="226"/>
      <c r="AC15" s="226"/>
      <c r="AD15" s="226"/>
      <c r="AE15" s="226"/>
      <c r="AF15" s="226"/>
      <c r="AG15" s="226"/>
      <c r="AH15" s="226"/>
      <c r="AI15" s="226"/>
      <c r="AJ15" s="226"/>
      <c r="AK15" s="226"/>
      <c r="AL15" s="226"/>
      <c r="AM15" s="226"/>
      <c r="AN15" s="226"/>
      <c r="AO15" s="230"/>
      <c r="AP15" s="265"/>
      <c r="AQ15" s="171"/>
      <c r="AR15" s="237"/>
      <c r="AS15" s="226"/>
      <c r="AT15" s="226"/>
      <c r="AU15" s="226"/>
      <c r="AV15" s="226"/>
      <c r="AW15" s="226"/>
      <c r="AX15" s="226"/>
      <c r="AY15" s="226"/>
      <c r="AZ15" s="226"/>
      <c r="BA15" s="226"/>
      <c r="BB15" s="226"/>
      <c r="BC15" s="226"/>
      <c r="BD15" s="226"/>
      <c r="BE15" s="226"/>
      <c r="BF15" s="226"/>
      <c r="BG15" s="226"/>
      <c r="BH15" s="226"/>
      <c r="BI15" s="226"/>
      <c r="BJ15" s="131"/>
      <c r="BK15" s="131"/>
      <c r="BL15" s="230"/>
      <c r="BM15" s="131"/>
      <c r="BN15" s="172"/>
      <c r="BO15" s="264"/>
      <c r="BP15" s="264"/>
      <c r="BQ15" s="18"/>
    </row>
    <row r="16" spans="1:69" ht="15" customHeight="1" x14ac:dyDescent="0.3">
      <c r="A16" s="247" t="s">
        <v>261</v>
      </c>
      <c r="B16" s="159" t="s">
        <v>12</v>
      </c>
      <c r="C16" s="282">
        <f>VLOOKUP(B16,'Notes and Look Up'!$A$1:$B$11,2,0)</f>
        <v>0.3</v>
      </c>
      <c r="D16" s="129"/>
      <c r="E16" s="15" t="s">
        <v>47</v>
      </c>
      <c r="F16" s="15" t="s">
        <v>47</v>
      </c>
      <c r="G16" s="223" t="s">
        <v>47</v>
      </c>
      <c r="H16" s="122" t="s">
        <v>47</v>
      </c>
      <c r="I16" s="122" t="s">
        <v>47</v>
      </c>
      <c r="J16" s="122" t="s">
        <v>47</v>
      </c>
      <c r="K16" s="122" t="s">
        <v>47</v>
      </c>
      <c r="L16" s="122" t="s">
        <v>47</v>
      </c>
      <c r="M16" s="140">
        <v>365</v>
      </c>
      <c r="N16" s="140">
        <v>1</v>
      </c>
      <c r="O16" s="122" t="s">
        <v>47</v>
      </c>
      <c r="P16" s="227">
        <f t="shared" ref="P16:P18" si="36">M16*N16</f>
        <v>365</v>
      </c>
      <c r="Q16" s="140" t="s">
        <v>47</v>
      </c>
      <c r="R16" s="122" t="s">
        <v>47</v>
      </c>
      <c r="S16" s="140" t="s">
        <v>47</v>
      </c>
      <c r="T16" s="122" t="s">
        <v>47</v>
      </c>
      <c r="U16" s="122" t="s">
        <v>47</v>
      </c>
      <c r="V16" s="122" t="s">
        <v>47</v>
      </c>
      <c r="W16" s="122" t="s">
        <v>47</v>
      </c>
      <c r="X16" s="122" t="s">
        <v>47</v>
      </c>
      <c r="Y16" s="122" t="s">
        <v>47</v>
      </c>
      <c r="Z16" s="122" t="s">
        <v>47</v>
      </c>
      <c r="AA16" s="122" t="s">
        <v>47</v>
      </c>
      <c r="AB16" s="122" t="s">
        <v>47</v>
      </c>
      <c r="AC16" s="122" t="s">
        <v>47</v>
      </c>
      <c r="AD16" s="122" t="s">
        <v>47</v>
      </c>
      <c r="AE16" s="122" t="s">
        <v>47</v>
      </c>
      <c r="AF16" s="122" t="s">
        <v>47</v>
      </c>
      <c r="AG16" s="122" t="s">
        <v>47</v>
      </c>
      <c r="AH16" s="122" t="s">
        <v>47</v>
      </c>
      <c r="AI16" s="122" t="s">
        <v>47</v>
      </c>
      <c r="AJ16" s="122" t="s">
        <v>47</v>
      </c>
      <c r="AK16" s="122" t="s">
        <v>47</v>
      </c>
      <c r="AL16" s="122" t="s">
        <v>47</v>
      </c>
      <c r="AM16" s="122" t="s">
        <v>47</v>
      </c>
      <c r="AN16" s="14">
        <v>24.33</v>
      </c>
      <c r="AO16" s="14">
        <f>AN16*D16</f>
        <v>0</v>
      </c>
      <c r="AP16" s="265">
        <f>(1-(VLOOKUP(B16,'Notes and Look Up'!$A$2:$B$9,2,0)))*AO16</f>
        <v>0</v>
      </c>
      <c r="AQ16" s="171">
        <f>AP16*'Notes and Look Up'!$B$18</f>
        <v>0</v>
      </c>
      <c r="AR16" s="141" t="s">
        <v>47</v>
      </c>
      <c r="AS16" s="131" t="s">
        <v>47</v>
      </c>
      <c r="AT16" s="131" t="s">
        <v>47</v>
      </c>
      <c r="AU16" s="131" t="s">
        <v>47</v>
      </c>
      <c r="AV16" s="131" t="s">
        <v>47</v>
      </c>
      <c r="AW16" s="131" t="s">
        <v>47</v>
      </c>
      <c r="AX16" s="131" t="s">
        <v>47</v>
      </c>
      <c r="AY16" s="131" t="s">
        <v>47</v>
      </c>
      <c r="AZ16" s="131" t="s">
        <v>47</v>
      </c>
      <c r="BA16" s="131" t="s">
        <v>47</v>
      </c>
      <c r="BB16" s="131" t="s">
        <v>47</v>
      </c>
      <c r="BC16" s="131" t="s">
        <v>47</v>
      </c>
      <c r="BD16" s="131" t="s">
        <v>47</v>
      </c>
      <c r="BE16" s="131" t="s">
        <v>47</v>
      </c>
      <c r="BF16" s="131" t="s">
        <v>47</v>
      </c>
      <c r="BG16" s="131" t="s">
        <v>47</v>
      </c>
      <c r="BH16" s="131" t="s">
        <v>47</v>
      </c>
      <c r="BI16" s="131" t="s">
        <v>47</v>
      </c>
      <c r="BJ16" s="131" t="s">
        <v>47</v>
      </c>
      <c r="BK16" s="131" t="s">
        <v>47</v>
      </c>
      <c r="BL16" s="14">
        <v>12.3</v>
      </c>
      <c r="BM16" s="131">
        <f>BL16*D16</f>
        <v>0</v>
      </c>
      <c r="BN16" s="172">
        <f>BM16*'Notes and Look Up'!$B$18</f>
        <v>0</v>
      </c>
      <c r="BQ16" s="124"/>
    </row>
    <row r="17" spans="1:69" ht="15" customHeight="1" x14ac:dyDescent="0.3">
      <c r="A17" s="127" t="s">
        <v>224</v>
      </c>
      <c r="B17" s="159" t="s">
        <v>12</v>
      </c>
      <c r="C17" s="282">
        <f>VLOOKUP(B17,'Notes and Look Up'!$A$1:$B$11,2,0)</f>
        <v>0.3</v>
      </c>
      <c r="D17" s="129"/>
      <c r="E17" s="15" t="s">
        <v>47</v>
      </c>
      <c r="F17" s="15" t="s">
        <v>47</v>
      </c>
      <c r="G17" s="223" t="s">
        <v>47</v>
      </c>
      <c r="H17" s="122" t="s">
        <v>47</v>
      </c>
      <c r="I17" s="122" t="s">
        <v>47</v>
      </c>
      <c r="J17" s="122" t="s">
        <v>47</v>
      </c>
      <c r="K17" s="122" t="s">
        <v>47</v>
      </c>
      <c r="L17" s="122" t="s">
        <v>47</v>
      </c>
      <c r="M17" s="140">
        <v>365</v>
      </c>
      <c r="N17" s="140">
        <v>1</v>
      </c>
      <c r="O17" s="122" t="s">
        <v>47</v>
      </c>
      <c r="P17" s="227">
        <f t="shared" si="36"/>
        <v>365</v>
      </c>
      <c r="Q17" s="140" t="s">
        <v>47</v>
      </c>
      <c r="R17" s="122" t="s">
        <v>47</v>
      </c>
      <c r="S17" s="140" t="s">
        <v>47</v>
      </c>
      <c r="T17" s="122" t="s">
        <v>47</v>
      </c>
      <c r="U17" s="122" t="s">
        <v>47</v>
      </c>
      <c r="V17" s="122" t="s">
        <v>47</v>
      </c>
      <c r="W17" s="122" t="s">
        <v>47</v>
      </c>
      <c r="X17" s="122" t="s">
        <v>47</v>
      </c>
      <c r="Y17" s="122" t="s">
        <v>47</v>
      </c>
      <c r="Z17" s="122" t="s">
        <v>47</v>
      </c>
      <c r="AA17" s="122" t="s">
        <v>47</v>
      </c>
      <c r="AB17" s="122" t="s">
        <v>47</v>
      </c>
      <c r="AC17" s="122" t="s">
        <v>47</v>
      </c>
      <c r="AD17" s="122" t="s">
        <v>47</v>
      </c>
      <c r="AE17" s="122" t="s">
        <v>47</v>
      </c>
      <c r="AF17" s="122" t="s">
        <v>47</v>
      </c>
      <c r="AG17" s="122" t="s">
        <v>47</v>
      </c>
      <c r="AH17" s="122" t="s">
        <v>47</v>
      </c>
      <c r="AI17" s="122" t="s">
        <v>47</v>
      </c>
      <c r="AJ17" s="122" t="s">
        <v>47</v>
      </c>
      <c r="AK17" s="122" t="s">
        <v>47</v>
      </c>
      <c r="AL17" s="122" t="s">
        <v>47</v>
      </c>
      <c r="AM17" s="122" t="s">
        <v>47</v>
      </c>
      <c r="AN17" s="14">
        <v>38.82</v>
      </c>
      <c r="AO17" s="14">
        <f>AN17*D17</f>
        <v>0</v>
      </c>
      <c r="AP17" s="265">
        <f>(1-(VLOOKUP(B17,'Notes and Look Up'!$A$2:$B$9,2,0)))*AO17</f>
        <v>0</v>
      </c>
      <c r="AQ17" s="171">
        <f>AP17*'Notes and Look Up'!$B$18</f>
        <v>0</v>
      </c>
      <c r="AR17" s="141" t="s">
        <v>47</v>
      </c>
      <c r="AS17" s="131" t="s">
        <v>47</v>
      </c>
      <c r="AT17" s="131" t="s">
        <v>47</v>
      </c>
      <c r="AU17" s="131" t="s">
        <v>47</v>
      </c>
      <c r="AV17" s="131" t="s">
        <v>47</v>
      </c>
      <c r="AW17" s="131" t="s">
        <v>47</v>
      </c>
      <c r="AX17" s="131" t="s">
        <v>47</v>
      </c>
      <c r="AY17" s="131" t="s">
        <v>47</v>
      </c>
      <c r="AZ17" s="131" t="s">
        <v>47</v>
      </c>
      <c r="BA17" s="131" t="s">
        <v>47</v>
      </c>
      <c r="BB17" s="131" t="s">
        <v>47</v>
      </c>
      <c r="BC17" s="131" t="s">
        <v>47</v>
      </c>
      <c r="BD17" s="131" t="s">
        <v>47</v>
      </c>
      <c r="BE17" s="131" t="s">
        <v>47</v>
      </c>
      <c r="BF17" s="131" t="s">
        <v>47</v>
      </c>
      <c r="BG17" s="131" t="s">
        <v>47</v>
      </c>
      <c r="BH17" s="131" t="s">
        <v>47</v>
      </c>
      <c r="BI17" s="131" t="s">
        <v>47</v>
      </c>
      <c r="BJ17" s="131" t="s">
        <v>47</v>
      </c>
      <c r="BK17" s="131" t="s">
        <v>47</v>
      </c>
      <c r="BL17" s="14">
        <v>18.79</v>
      </c>
      <c r="BM17" s="131">
        <f>BL17*D17</f>
        <v>0</v>
      </c>
      <c r="BN17" s="172">
        <f>BM17*'Notes and Look Up'!$B$18</f>
        <v>0</v>
      </c>
      <c r="BQ17" s="124"/>
    </row>
    <row r="18" spans="1:69" ht="15" customHeight="1" x14ac:dyDescent="0.3">
      <c r="A18" s="173" t="s">
        <v>6</v>
      </c>
      <c r="B18" s="322" t="s">
        <v>12</v>
      </c>
      <c r="C18" s="284">
        <f>VLOOKUP(B18,'Notes and Look Up'!$A$1:$B$11,2,0)</f>
        <v>0.3</v>
      </c>
      <c r="D18" s="153"/>
      <c r="E18" s="24" t="s">
        <v>47</v>
      </c>
      <c r="F18" s="24" t="s">
        <v>47</v>
      </c>
      <c r="G18" s="31" t="s">
        <v>47</v>
      </c>
      <c r="H18" s="136" t="s">
        <v>47</v>
      </c>
      <c r="I18" s="136" t="s">
        <v>47</v>
      </c>
      <c r="J18" s="136" t="s">
        <v>47</v>
      </c>
      <c r="K18" s="136" t="s">
        <v>47</v>
      </c>
      <c r="L18" s="136" t="s">
        <v>47</v>
      </c>
      <c r="M18" s="152">
        <v>365</v>
      </c>
      <c r="N18" s="152">
        <v>1</v>
      </c>
      <c r="O18" s="136" t="s">
        <v>47</v>
      </c>
      <c r="P18" s="228">
        <f t="shared" si="36"/>
        <v>365</v>
      </c>
      <c r="Q18" s="152" t="s">
        <v>47</v>
      </c>
      <c r="R18" s="136" t="s">
        <v>47</v>
      </c>
      <c r="S18" s="152" t="s">
        <v>47</v>
      </c>
      <c r="T18" s="136" t="s">
        <v>47</v>
      </c>
      <c r="U18" s="136" t="s">
        <v>47</v>
      </c>
      <c r="V18" s="136" t="s">
        <v>47</v>
      </c>
      <c r="W18" s="136" t="s">
        <v>47</v>
      </c>
      <c r="X18" s="136" t="s">
        <v>47</v>
      </c>
      <c r="Y18" s="136" t="s">
        <v>47</v>
      </c>
      <c r="Z18" s="136" t="s">
        <v>47</v>
      </c>
      <c r="AA18" s="136" t="s">
        <v>47</v>
      </c>
      <c r="AB18" s="136" t="s">
        <v>47</v>
      </c>
      <c r="AC18" s="136" t="s">
        <v>47</v>
      </c>
      <c r="AD18" s="136" t="s">
        <v>47</v>
      </c>
      <c r="AE18" s="136" t="s">
        <v>47</v>
      </c>
      <c r="AF18" s="136" t="s">
        <v>47</v>
      </c>
      <c r="AG18" s="136" t="s">
        <v>47</v>
      </c>
      <c r="AH18" s="136" t="s">
        <v>47</v>
      </c>
      <c r="AI18" s="136" t="s">
        <v>47</v>
      </c>
      <c r="AJ18" s="136" t="s">
        <v>47</v>
      </c>
      <c r="AK18" s="136" t="s">
        <v>47</v>
      </c>
      <c r="AL18" s="136" t="s">
        <v>47</v>
      </c>
      <c r="AM18" s="136" t="s">
        <v>47</v>
      </c>
      <c r="AN18" s="249">
        <v>175.95</v>
      </c>
      <c r="AO18" s="249">
        <f>AN18*D18</f>
        <v>0</v>
      </c>
      <c r="AP18" s="328">
        <f>(1-(VLOOKUP(B18,'Notes and Look Up'!$A$2:$B$9,2,0)))*AO18</f>
        <v>0</v>
      </c>
      <c r="AQ18" s="245">
        <f>AP18*'Notes and Look Up'!$B$18</f>
        <v>0</v>
      </c>
      <c r="AR18" s="154" t="s">
        <v>47</v>
      </c>
      <c r="AS18" s="167" t="s">
        <v>47</v>
      </c>
      <c r="AT18" s="167" t="s">
        <v>47</v>
      </c>
      <c r="AU18" s="167" t="s">
        <v>47</v>
      </c>
      <c r="AV18" s="167" t="s">
        <v>47</v>
      </c>
      <c r="AW18" s="167" t="s">
        <v>47</v>
      </c>
      <c r="AX18" s="167" t="s">
        <v>47</v>
      </c>
      <c r="AY18" s="167" t="s">
        <v>47</v>
      </c>
      <c r="AZ18" s="167" t="s">
        <v>47</v>
      </c>
      <c r="BA18" s="167" t="s">
        <v>47</v>
      </c>
      <c r="BB18" s="167" t="s">
        <v>47</v>
      </c>
      <c r="BC18" s="167" t="s">
        <v>47</v>
      </c>
      <c r="BD18" s="167" t="s">
        <v>47</v>
      </c>
      <c r="BE18" s="167" t="s">
        <v>47</v>
      </c>
      <c r="BF18" s="167" t="s">
        <v>47</v>
      </c>
      <c r="BG18" s="167" t="s">
        <v>47</v>
      </c>
      <c r="BH18" s="167" t="s">
        <v>47</v>
      </c>
      <c r="BI18" s="167" t="s">
        <v>47</v>
      </c>
      <c r="BJ18" s="167" t="s">
        <v>47</v>
      </c>
      <c r="BK18" s="167" t="s">
        <v>47</v>
      </c>
      <c r="BL18" s="249">
        <v>71.540000000000006</v>
      </c>
      <c r="BM18" s="167">
        <f>BL18*D18</f>
        <v>0</v>
      </c>
      <c r="BN18" s="246">
        <f>BM18*'Notes and Look Up'!$B$18</f>
        <v>0</v>
      </c>
      <c r="BQ18" s="124"/>
    </row>
    <row r="19" spans="1:69" x14ac:dyDescent="0.3">
      <c r="AB19" s="2"/>
      <c r="AC19" s="2"/>
      <c r="AI19" s="220"/>
      <c r="AJ19" s="1"/>
      <c r="AP19" s="221"/>
    </row>
    <row r="20" spans="1:69" ht="14.6" x14ac:dyDescent="0.4">
      <c r="A20" s="3" t="s">
        <v>442</v>
      </c>
      <c r="D20" s="222"/>
      <c r="AI20" s="220"/>
      <c r="AJ20" s="1"/>
      <c r="AN20" s="266">
        <f>SUM(AO5:AO11)/100</f>
        <v>0</v>
      </c>
      <c r="BD20" s="220"/>
      <c r="BE20" s="1"/>
      <c r="BL20" s="266">
        <f>SUM(BM5:BM11)/100</f>
        <v>0</v>
      </c>
    </row>
    <row r="21" spans="1:69" ht="14.6" x14ac:dyDescent="0.4">
      <c r="D21" s="222"/>
      <c r="AN21" s="266">
        <f>SUM(AO5:AO13)/100</f>
        <v>0</v>
      </c>
      <c r="BD21" s="220"/>
      <c r="BE21" s="1"/>
      <c r="BL21" s="266">
        <f>SUM(BM5:BM13)/100</f>
        <v>0</v>
      </c>
    </row>
    <row r="22" spans="1:69" ht="14.6" x14ac:dyDescent="0.4">
      <c r="D22" s="222"/>
      <c r="AN22" s="266"/>
      <c r="BD22" s="220"/>
      <c r="BE22" s="1"/>
      <c r="BL22" s="266"/>
    </row>
    <row r="23" spans="1:69" ht="14.6" x14ac:dyDescent="0.4">
      <c r="C23" s="281"/>
      <c r="D23" s="222"/>
      <c r="AN23" s="266">
        <f>SUM(AO5:AO14)/100</f>
        <v>0</v>
      </c>
      <c r="BL23" s="266">
        <f>SUM(BM5:BM14)/100</f>
        <v>0</v>
      </c>
    </row>
    <row r="24" spans="1:69" ht="14.6" x14ac:dyDescent="0.4">
      <c r="D24" s="222"/>
    </row>
    <row r="25" spans="1:69" ht="14.6" x14ac:dyDescent="0.4">
      <c r="D25" s="222"/>
    </row>
    <row r="26" spans="1:69" ht="14.6" x14ac:dyDescent="0.4">
      <c r="D26" s="222"/>
    </row>
    <row r="27" spans="1:69" ht="14.6" x14ac:dyDescent="0.4">
      <c r="D27" s="222"/>
    </row>
    <row r="28" spans="1:69" ht="14.6" x14ac:dyDescent="0.4">
      <c r="D28" s="222"/>
    </row>
  </sheetData>
  <sheetProtection password="DD31" sheet="1" objects="1" scenarios="1"/>
  <protectedRanges>
    <protectedRange sqref="B2" name="Operation Name"/>
    <protectedRange sqref="B5:B18" name="Storage Type"/>
    <protectedRange sqref="D5:D18" name="Animal Numbers"/>
  </protectedRanges>
  <dataValidations count="1">
    <dataValidation type="list" allowBlank="1" showInputMessage="1" showErrorMessage="1" sqref="B5:B10 B12 B15" xr:uid="{00000000-0002-0000-0100-000000000000}">
      <formula1>Storages</formula1>
    </dataValidation>
  </dataValidations>
  <pageMargins left="0.70866141732283472" right="0.70866141732283472" top="0.74803149606299213" bottom="0.74803149606299213" header="0.31496062992125984" footer="0.31496062992125984"/>
  <pageSetup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'Notes and Look Up'!$A$2:$A$11</xm:f>
          </x14:formula1>
          <xm:sqref>B11 B13:B14 B16:B18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18"/>
  <sheetViews>
    <sheetView zoomScale="87" zoomScaleNormal="87" workbookViewId="0">
      <pane xSplit="2" topLeftCell="C1" activePane="topRight" state="frozen"/>
      <selection activeCell="H23" sqref="H23"/>
      <selection pane="topRight" activeCell="B2" sqref="B2"/>
    </sheetView>
  </sheetViews>
  <sheetFormatPr defaultColWidth="9.15234375" defaultRowHeight="12.45" x14ac:dyDescent="0.3"/>
  <cols>
    <col min="1" max="1" width="18.84375" style="3" customWidth="1"/>
    <col min="2" max="2" width="36.53515625" style="3" customWidth="1"/>
    <col min="3" max="3" width="28.3828125" style="3" bestFit="1" customWidth="1"/>
    <col min="4" max="4" width="13.84375" style="3" customWidth="1"/>
    <col min="5" max="5" width="13.3046875" style="3" customWidth="1"/>
    <col min="6" max="6" width="13.84375" style="3" customWidth="1"/>
    <col min="7" max="7" width="15.3046875" style="3" customWidth="1"/>
    <col min="8" max="8" width="14" style="3" hidden="1" customWidth="1"/>
    <col min="9" max="9" width="15.3046875" style="3" hidden="1" customWidth="1"/>
    <col min="10" max="10" width="13.69140625" style="3" hidden="1" customWidth="1"/>
    <col min="11" max="11" width="12.15234375" style="3" hidden="1" customWidth="1"/>
    <col min="12" max="12" width="16.53515625" style="3" hidden="1" customWidth="1"/>
    <col min="13" max="13" width="15.3828125" style="3" hidden="1" customWidth="1"/>
    <col min="14" max="14" width="15.3046875" style="3" hidden="1" customWidth="1"/>
    <col min="15" max="15" width="10.53515625" style="3" hidden="1" customWidth="1"/>
    <col min="16" max="16" width="13.84375" style="3" bestFit="1" customWidth="1"/>
    <col min="17" max="17" width="14.3828125" style="3" bestFit="1" customWidth="1"/>
    <col min="18" max="18" width="11.3046875" style="3" bestFit="1" customWidth="1"/>
    <col min="19" max="19" width="12.53515625" style="3" bestFit="1" customWidth="1"/>
    <col min="20" max="20" width="13.84375" style="3" hidden="1" customWidth="1"/>
    <col min="21" max="21" width="17.3046875" style="3" hidden="1" customWidth="1"/>
    <col min="22" max="22" width="18.84375" style="3" hidden="1" customWidth="1"/>
    <col min="23" max="23" width="16.3828125" style="3" hidden="1" customWidth="1"/>
    <col min="24" max="24" width="20.3828125" style="3" hidden="1" customWidth="1"/>
    <col min="25" max="25" width="12.53515625" style="3" hidden="1" customWidth="1"/>
    <col min="26" max="26" width="16.3828125" style="3" hidden="1" customWidth="1"/>
    <col min="27" max="27" width="16.84375" style="3" hidden="1" customWidth="1"/>
    <col min="28" max="28" width="13.69140625" style="3" hidden="1" customWidth="1"/>
    <col min="29" max="29" width="14.53515625" style="3" hidden="1" customWidth="1"/>
    <col min="30" max="30" width="13.3828125" style="3" hidden="1" customWidth="1"/>
    <col min="31" max="31" width="9.15234375" style="3" hidden="1" customWidth="1"/>
    <col min="32" max="32" width="21.3828125" style="3" hidden="1" customWidth="1"/>
    <col min="33" max="33" width="20.84375" style="3" hidden="1" customWidth="1"/>
    <col min="34" max="34" width="14.53515625" style="3" hidden="1" customWidth="1"/>
    <col min="35" max="35" width="16.69140625" style="3" hidden="1" customWidth="1"/>
    <col min="36" max="36" width="15" style="3" hidden="1" customWidth="1"/>
    <col min="37" max="37" width="11.53515625" style="3" hidden="1" customWidth="1"/>
    <col min="38" max="38" width="13.84375" style="3" hidden="1" customWidth="1"/>
    <col min="39" max="39" width="15.3046875" style="3" hidden="1" customWidth="1"/>
    <col min="40" max="40" width="16.69140625" style="3" customWidth="1"/>
    <col min="41" max="41" width="12.3046875" style="3" hidden="1" customWidth="1"/>
    <col min="42" max="42" width="13.53515625" style="3" hidden="1" customWidth="1"/>
    <col min="43" max="43" width="14.15234375" style="3" hidden="1" customWidth="1"/>
    <col min="44" max="44" width="13.15234375" style="3" hidden="1" customWidth="1"/>
    <col min="45" max="45" width="13.84375" style="3" hidden="1" customWidth="1"/>
    <col min="46" max="46" width="13.3828125" style="3" hidden="1" customWidth="1"/>
    <col min="47" max="47" width="14.3828125" style="3" hidden="1" customWidth="1"/>
    <col min="48" max="48" width="11.53515625" style="3" hidden="1" customWidth="1"/>
    <col min="49" max="49" width="12.3828125" style="3" hidden="1" customWidth="1"/>
    <col min="50" max="50" width="11" style="3" hidden="1" customWidth="1"/>
    <col min="51" max="51" width="10.84375" style="3" hidden="1" customWidth="1"/>
    <col min="52" max="52" width="15.53515625" style="3" hidden="1" customWidth="1"/>
    <col min="53" max="53" width="11.15234375" style="3" hidden="1" customWidth="1"/>
    <col min="54" max="54" width="10.69140625" style="3" hidden="1" customWidth="1"/>
    <col min="55" max="55" width="21" style="3" hidden="1" customWidth="1"/>
    <col min="56" max="56" width="15" style="3" hidden="1" customWidth="1"/>
    <col min="57" max="58" width="14.3046875" style="3" hidden="1" customWidth="1"/>
    <col min="59" max="59" width="16.69140625" style="3" customWidth="1"/>
    <col min="60" max="16384" width="9.15234375" style="3"/>
  </cols>
  <sheetData>
    <row r="1" spans="1:65" ht="12.9" thickBot="1" x14ac:dyDescent="0.35">
      <c r="A1" s="290" t="s">
        <v>302</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1"/>
      <c r="BB1" s="291"/>
      <c r="BC1" s="291"/>
      <c r="BD1" s="291"/>
      <c r="BE1" s="291"/>
      <c r="BF1" s="291"/>
      <c r="BG1" s="291"/>
    </row>
    <row r="2" spans="1:65" ht="12.9" thickBot="1" x14ac:dyDescent="0.35">
      <c r="A2" s="290" t="s">
        <v>304</v>
      </c>
      <c r="B2" s="375"/>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row>
    <row r="3" spans="1:65" s="18" customFormat="1" ht="55.5" customHeight="1" x14ac:dyDescent="0.3">
      <c r="A3" s="300" t="s">
        <v>320</v>
      </c>
      <c r="B3" s="301" t="s">
        <v>321</v>
      </c>
      <c r="C3" s="19" t="s">
        <v>9</v>
      </c>
      <c r="D3" s="20" t="s">
        <v>145</v>
      </c>
      <c r="E3" s="19" t="s">
        <v>8</v>
      </c>
      <c r="F3" s="19" t="s">
        <v>60</v>
      </c>
      <c r="G3" s="19" t="s">
        <v>61</v>
      </c>
      <c r="H3" s="20" t="s">
        <v>57</v>
      </c>
      <c r="I3" s="33" t="s">
        <v>60</v>
      </c>
      <c r="J3" s="33" t="s">
        <v>61</v>
      </c>
      <c r="K3" s="33" t="s">
        <v>57</v>
      </c>
      <c r="L3" s="205" t="s">
        <v>179</v>
      </c>
      <c r="M3" s="33" t="s">
        <v>62</v>
      </c>
      <c r="N3" s="33" t="s">
        <v>54</v>
      </c>
      <c r="O3" s="206" t="s">
        <v>180</v>
      </c>
      <c r="P3" s="19" t="s">
        <v>78</v>
      </c>
      <c r="Q3" s="19" t="s">
        <v>151</v>
      </c>
      <c r="R3" s="20" t="s">
        <v>181</v>
      </c>
      <c r="S3" s="20" t="s">
        <v>182</v>
      </c>
      <c r="T3" s="33" t="s">
        <v>30</v>
      </c>
      <c r="U3" s="34" t="s">
        <v>183</v>
      </c>
      <c r="V3" s="34" t="s">
        <v>184</v>
      </c>
      <c r="W3" s="34" t="s">
        <v>185</v>
      </c>
      <c r="X3" s="34" t="s">
        <v>186</v>
      </c>
      <c r="Y3" s="34" t="s">
        <v>187</v>
      </c>
      <c r="Z3" s="206" t="s">
        <v>188</v>
      </c>
      <c r="AA3" s="206" t="s">
        <v>189</v>
      </c>
      <c r="AB3" s="34" t="s">
        <v>190</v>
      </c>
      <c r="AC3" s="33" t="s">
        <v>191</v>
      </c>
      <c r="AD3" s="33" t="s">
        <v>192</v>
      </c>
      <c r="AE3" s="33" t="s">
        <v>193</v>
      </c>
      <c r="AF3" s="33" t="s">
        <v>194</v>
      </c>
      <c r="AG3" s="33" t="s">
        <v>267</v>
      </c>
      <c r="AH3" s="207" t="s">
        <v>196</v>
      </c>
      <c r="AI3" s="34" t="s">
        <v>58</v>
      </c>
      <c r="AJ3" s="33" t="s">
        <v>63</v>
      </c>
      <c r="AK3" s="33" t="s">
        <v>59</v>
      </c>
      <c r="AL3" s="34" t="s">
        <v>51</v>
      </c>
      <c r="AM3" s="33" t="s">
        <v>46</v>
      </c>
      <c r="AN3" s="20" t="s">
        <v>46</v>
      </c>
      <c r="AO3" s="33" t="s">
        <v>144</v>
      </c>
      <c r="AP3" s="34" t="s">
        <v>197</v>
      </c>
      <c r="AQ3" s="34" t="s">
        <v>198</v>
      </c>
      <c r="AR3" s="34" t="s">
        <v>186</v>
      </c>
      <c r="AS3" s="34" t="s">
        <v>199</v>
      </c>
      <c r="AT3" s="33" t="s">
        <v>200</v>
      </c>
      <c r="AU3" s="34" t="s">
        <v>142</v>
      </c>
      <c r="AV3" s="33" t="s">
        <v>201</v>
      </c>
      <c r="AW3" s="33" t="s">
        <v>202</v>
      </c>
      <c r="AX3" s="33" t="s">
        <v>203</v>
      </c>
      <c r="AY3" s="33" t="s">
        <v>204</v>
      </c>
      <c r="AZ3" s="33" t="s">
        <v>205</v>
      </c>
      <c r="BA3" s="207" t="s">
        <v>206</v>
      </c>
      <c r="BB3" s="34" t="s">
        <v>143</v>
      </c>
      <c r="BC3" s="33" t="s">
        <v>64</v>
      </c>
      <c r="BD3" s="33" t="s">
        <v>66</v>
      </c>
      <c r="BE3" s="33" t="s">
        <v>67</v>
      </c>
      <c r="BF3" s="34" t="s">
        <v>68</v>
      </c>
      <c r="BG3" s="22" t="s">
        <v>68</v>
      </c>
    </row>
    <row r="4" spans="1:65" s="18" customFormat="1" ht="15" customHeight="1" x14ac:dyDescent="0.3">
      <c r="A4" s="208"/>
      <c r="B4" s="209"/>
      <c r="C4" s="210"/>
      <c r="D4" s="211"/>
      <c r="E4" s="210"/>
      <c r="F4" s="210" t="s">
        <v>147</v>
      </c>
      <c r="G4" s="210" t="s">
        <v>147</v>
      </c>
      <c r="H4" s="212" t="s">
        <v>147</v>
      </c>
      <c r="I4" s="213" t="s">
        <v>48</v>
      </c>
      <c r="J4" s="213" t="s">
        <v>48</v>
      </c>
      <c r="K4" s="214" t="s">
        <v>48</v>
      </c>
      <c r="L4" s="213" t="s">
        <v>48</v>
      </c>
      <c r="M4" s="214" t="s">
        <v>49</v>
      </c>
      <c r="N4" s="213" t="s">
        <v>55</v>
      </c>
      <c r="O4" s="214" t="s">
        <v>43</v>
      </c>
      <c r="P4" s="215" t="s">
        <v>43</v>
      </c>
      <c r="Q4" s="216"/>
      <c r="R4" s="212" t="s">
        <v>207</v>
      </c>
      <c r="S4" s="212" t="s">
        <v>44</v>
      </c>
      <c r="T4" s="214" t="s">
        <v>31</v>
      </c>
      <c r="U4" s="214" t="s">
        <v>208</v>
      </c>
      <c r="V4" s="214" t="s">
        <v>209</v>
      </c>
      <c r="W4" s="214" t="s">
        <v>209</v>
      </c>
      <c r="X4" s="214" t="s">
        <v>48</v>
      </c>
      <c r="Y4" s="214" t="s">
        <v>208</v>
      </c>
      <c r="Z4" s="217" t="s">
        <v>209</v>
      </c>
      <c r="AA4" s="214" t="s">
        <v>209</v>
      </c>
      <c r="AB4" s="214" t="s">
        <v>53</v>
      </c>
      <c r="AC4" s="297" t="s">
        <v>210</v>
      </c>
      <c r="AD4" s="218" t="s">
        <v>209</v>
      </c>
      <c r="AE4" s="218" t="s">
        <v>209</v>
      </c>
      <c r="AF4" s="218" t="s">
        <v>53</v>
      </c>
      <c r="AG4" s="214" t="s">
        <v>31</v>
      </c>
      <c r="AH4" s="214" t="s">
        <v>31</v>
      </c>
      <c r="AI4" s="214" t="s">
        <v>53</v>
      </c>
      <c r="AJ4" s="213" t="s">
        <v>211</v>
      </c>
      <c r="AK4" s="214" t="s">
        <v>50</v>
      </c>
      <c r="AL4" s="213" t="s">
        <v>45</v>
      </c>
      <c r="AM4" s="213" t="s">
        <v>45</v>
      </c>
      <c r="AN4" s="211" t="s">
        <v>212</v>
      </c>
      <c r="AO4" s="214" t="s">
        <v>31</v>
      </c>
      <c r="AP4" s="214" t="s">
        <v>208</v>
      </c>
      <c r="AQ4" s="214" t="s">
        <v>209</v>
      </c>
      <c r="AR4" s="214" t="s">
        <v>141</v>
      </c>
      <c r="AS4" s="214" t="s">
        <v>208</v>
      </c>
      <c r="AT4" s="214" t="s">
        <v>209</v>
      </c>
      <c r="AU4" s="214" t="s">
        <v>53</v>
      </c>
      <c r="AV4" s="296" t="s">
        <v>210</v>
      </c>
      <c r="AW4" s="214" t="s">
        <v>209</v>
      </c>
      <c r="AX4" s="214" t="s">
        <v>209</v>
      </c>
      <c r="AY4" s="214" t="s">
        <v>53</v>
      </c>
      <c r="AZ4" s="214" t="s">
        <v>31</v>
      </c>
      <c r="BA4" s="214" t="s">
        <v>31</v>
      </c>
      <c r="BB4" s="214" t="s">
        <v>55</v>
      </c>
      <c r="BC4" s="214" t="s">
        <v>65</v>
      </c>
      <c r="BD4" s="214" t="s">
        <v>69</v>
      </c>
      <c r="BE4" s="214" t="s">
        <v>70</v>
      </c>
      <c r="BF4" s="214" t="s">
        <v>70</v>
      </c>
      <c r="BG4" s="219" t="s">
        <v>213</v>
      </c>
    </row>
    <row r="5" spans="1:65" ht="15" hidden="1" customHeight="1" x14ac:dyDescent="0.3">
      <c r="A5" s="127" t="s">
        <v>56</v>
      </c>
      <c r="B5" s="174" t="s">
        <v>214</v>
      </c>
      <c r="C5" s="159" t="s">
        <v>28</v>
      </c>
      <c r="D5" s="282">
        <f>VLOOKUP(C5,'Notes and Look Up'!$A$1:$B$11,2,0)</f>
        <v>0.4</v>
      </c>
      <c r="E5" s="129"/>
      <c r="F5" s="129">
        <v>1375</v>
      </c>
      <c r="G5" s="129">
        <v>1375</v>
      </c>
      <c r="H5" s="142">
        <f>AVERAGE(F5:G5)</f>
        <v>1375</v>
      </c>
      <c r="I5" s="131">
        <f>F5/'Notes and Look Up'!$B$18</f>
        <v>623.69590855483989</v>
      </c>
      <c r="J5" s="131">
        <f>G5/'Notes and Look Up'!$B$18</f>
        <v>623.69590855483989</v>
      </c>
      <c r="K5" s="131">
        <f>AVERAGE(I5:J5)</f>
        <v>623.69590855483989</v>
      </c>
      <c r="L5" s="131">
        <f>I8+((F5-G6)/'Notes and Look Up'!B18*(15/85))</f>
        <v>50.015742484964591</v>
      </c>
      <c r="M5" s="175">
        <v>2.5000000000000001E-2</v>
      </c>
      <c r="N5" s="134">
        <f>K5*M5</f>
        <v>15.592397713870998</v>
      </c>
      <c r="O5" s="122">
        <v>0</v>
      </c>
      <c r="P5" s="129">
        <v>365</v>
      </c>
      <c r="Q5" s="132">
        <v>1</v>
      </c>
      <c r="R5" s="176"/>
      <c r="S5" s="130">
        <f t="shared" ref="S5:S8" si="0">P5*Q5</f>
        <v>365</v>
      </c>
      <c r="T5" s="162">
        <v>0.1</v>
      </c>
      <c r="U5" s="131">
        <f>T5*N5*1000</f>
        <v>1559.2397713870998</v>
      </c>
      <c r="V5" s="131">
        <f>U5*P5</f>
        <v>569122.51655629149</v>
      </c>
      <c r="W5" s="131">
        <f>V5/'Notes and Look Up'!$A$24</f>
        <v>91059.602649006643</v>
      </c>
      <c r="X5" s="131">
        <v>0</v>
      </c>
      <c r="Y5" s="131">
        <f t="shared" ref="Y5:Y7" si="1">(X5*1000)*0.033</f>
        <v>0</v>
      </c>
      <c r="Z5" s="131">
        <f>Y5*O5</f>
        <v>0</v>
      </c>
      <c r="AA5" s="131">
        <f>Z5/'Notes and Look Up'!$A$24</f>
        <v>0</v>
      </c>
      <c r="AB5" s="134">
        <f>(AA5+W5)/1000</f>
        <v>91.059602649006649</v>
      </c>
      <c r="AC5" s="126">
        <v>26</v>
      </c>
      <c r="AD5" s="131">
        <f>AC5*(L5)</f>
        <v>1300.4093046090793</v>
      </c>
      <c r="AE5" s="125">
        <f>AA8</f>
        <v>7405.44</v>
      </c>
      <c r="AF5" s="121">
        <f>(AD5+AE5)/1000</f>
        <v>8.7058493046090781</v>
      </c>
      <c r="AG5" s="163">
        <f>AF5/AB5</f>
        <v>9.5606054181525124E-2</v>
      </c>
      <c r="AH5" s="177">
        <f t="shared" ref="AH5:AH9" si="2">1-AG5</f>
        <v>0.90439394581847488</v>
      </c>
      <c r="AI5" s="131">
        <f>AH5*AB5</f>
        <v>82.353753344397575</v>
      </c>
      <c r="AJ5" s="121">
        <f>AI5/P5/K5*1000</f>
        <v>0.36175757832739008</v>
      </c>
      <c r="AK5" s="131">
        <f>AI5*Q5</f>
        <v>82.353753344397575</v>
      </c>
      <c r="AL5" s="131">
        <f>AK5*E5</f>
        <v>0</v>
      </c>
      <c r="AM5" s="133">
        <f t="shared" ref="AM5:AM10" si="3">AL5*(1-D5)</f>
        <v>0</v>
      </c>
      <c r="AN5" s="142">
        <f>AM5*'Notes and Look Up'!$B$18</f>
        <v>0</v>
      </c>
      <c r="AO5" s="178">
        <v>1.9E-3</v>
      </c>
      <c r="AP5" s="134">
        <f>(AO5*N5)*1000</f>
        <v>29.625555656354894</v>
      </c>
      <c r="AQ5" s="131">
        <f>AP5*P5</f>
        <v>10813.327814569537</v>
      </c>
      <c r="AR5" s="131">
        <v>0</v>
      </c>
      <c r="AS5" s="131">
        <v>0</v>
      </c>
      <c r="AT5" s="131">
        <v>0</v>
      </c>
      <c r="AU5" s="134">
        <f t="shared" ref="AU5:AU7" si="4">(AT5+AQ5)/1000</f>
        <v>10.813327814569536</v>
      </c>
      <c r="AV5" s="122">
        <v>7.1</v>
      </c>
      <c r="AW5" s="131">
        <f>AV5*L5</f>
        <v>355.11177164324857</v>
      </c>
      <c r="AX5" s="126">
        <f>AT8</f>
        <v>1461.6</v>
      </c>
      <c r="AY5" s="121">
        <f>(AW5+AX5)/1000</f>
        <v>1.8167117716432486</v>
      </c>
      <c r="AZ5" s="163">
        <f>AY5/AU5</f>
        <v>0.16800672307330483</v>
      </c>
      <c r="BA5" s="177">
        <f>1-AZ5</f>
        <v>0.83199327692669511</v>
      </c>
      <c r="BB5" s="164">
        <f>BA5*(AU5/P5)</f>
        <v>2.4648263131304898E-2</v>
      </c>
      <c r="BC5" s="121">
        <f>((BB5*'Notes and Look Up'!$B$21)/K5)*1000</f>
        <v>9.0500068697701261E-2</v>
      </c>
      <c r="BD5" s="121">
        <f>BA5*AU5*'Notes and Look Up'!$B$21</f>
        <v>20.602250738301198</v>
      </c>
      <c r="BE5" s="121">
        <f>BD5*Q5</f>
        <v>20.602250738301198</v>
      </c>
      <c r="BF5" s="134">
        <f t="shared" ref="BF5:BF10" si="5">BE5*E5</f>
        <v>0</v>
      </c>
      <c r="BG5" s="147">
        <f>BF5*'Notes and Look Up'!$B$18</f>
        <v>0</v>
      </c>
    </row>
    <row r="6" spans="1:65" ht="15" hidden="1" customHeight="1" x14ac:dyDescent="0.3">
      <c r="A6" s="127" t="s">
        <v>56</v>
      </c>
      <c r="B6" s="137" t="s">
        <v>215</v>
      </c>
      <c r="C6" s="120" t="s">
        <v>28</v>
      </c>
      <c r="D6" s="282">
        <f>VLOOKUP(C6,'Notes and Look Up'!$A$1:$B$11,2,0)</f>
        <v>0.4</v>
      </c>
      <c r="E6" s="129"/>
      <c r="F6" s="179">
        <f>G7</f>
        <v>926.1884242039373</v>
      </c>
      <c r="G6" s="179">
        <f>1375*0.9</f>
        <v>1237.5</v>
      </c>
      <c r="H6" s="142">
        <f>AVERAGE(F6:G6)</f>
        <v>1081.8442121019687</v>
      </c>
      <c r="I6" s="131">
        <f>F6/'Notes and Look Up'!$B$18</f>
        <v>420.11631325589099</v>
      </c>
      <c r="J6" s="131">
        <f>G6/'Notes and Look Up'!$B$18</f>
        <v>561.32631769935585</v>
      </c>
      <c r="K6" s="131">
        <f>AVERAGE(I6:J6)</f>
        <v>490.72131547762342</v>
      </c>
      <c r="L6" s="131">
        <f>((J6-I6))+I8</f>
        <v>180.21934854216758</v>
      </c>
      <c r="M6" s="175">
        <v>2.5000000000000001E-2</v>
      </c>
      <c r="N6" s="134">
        <f t="shared" ref="N6:N9" si="6">K6*M6</f>
        <v>12.268032886940587</v>
      </c>
      <c r="O6" s="122">
        <v>0</v>
      </c>
      <c r="P6" s="129">
        <v>280</v>
      </c>
      <c r="Q6" s="132">
        <v>1</v>
      </c>
      <c r="R6" s="176">
        <f>L6*'Notes and Look Up'!$B$18/P6</f>
        <v>1.4189699135573666</v>
      </c>
      <c r="S6" s="130">
        <f t="shared" si="0"/>
        <v>280</v>
      </c>
      <c r="T6" s="162">
        <v>0.1</v>
      </c>
      <c r="U6" s="131">
        <f>T6*N6*1000</f>
        <v>1226.8032886940587</v>
      </c>
      <c r="V6" s="131">
        <f>U6*P6</f>
        <v>343504.92083433643</v>
      </c>
      <c r="W6" s="131">
        <f>V6/'Notes and Look Up'!$A$24</f>
        <v>54960.787333493827</v>
      </c>
      <c r="X6" s="131">
        <v>0</v>
      </c>
      <c r="Y6" s="131">
        <f t="shared" si="1"/>
        <v>0</v>
      </c>
      <c r="Z6" s="131">
        <f>Y6*O6</f>
        <v>0</v>
      </c>
      <c r="AA6" s="131">
        <f>Z6/'Notes and Look Up'!$A$24</f>
        <v>0</v>
      </c>
      <c r="AB6" s="134">
        <f>(AA6+W6)/1000</f>
        <v>54.960787333493826</v>
      </c>
      <c r="AC6" s="126">
        <v>26</v>
      </c>
      <c r="AD6" s="131">
        <f>AC6*(L6)</f>
        <v>4685.7030620963569</v>
      </c>
      <c r="AE6" s="126">
        <v>0</v>
      </c>
      <c r="AF6" s="121">
        <f>(AD6+AE6)/1000</f>
        <v>4.6857030620963567</v>
      </c>
      <c r="AG6" s="163">
        <f>AF6/AB6</f>
        <v>8.5255384601101367E-2</v>
      </c>
      <c r="AH6" s="177">
        <f t="shared" si="2"/>
        <v>0.91474461539889862</v>
      </c>
      <c r="AI6" s="131">
        <f t="shared" ref="AI6:AI9" si="7">AH6*AB6</f>
        <v>50.275084271397468</v>
      </c>
      <c r="AJ6" s="121">
        <f t="shared" ref="AJ6:AJ9" si="8">AI6/P6/K6*1000</f>
        <v>0.36589784615955945</v>
      </c>
      <c r="AK6" s="131">
        <f>AI6*Q6</f>
        <v>50.275084271397468</v>
      </c>
      <c r="AL6" s="131">
        <f>AK6*E6</f>
        <v>0</v>
      </c>
      <c r="AM6" s="133">
        <f t="shared" si="3"/>
        <v>0</v>
      </c>
      <c r="AN6" s="142">
        <f>AM6*'Notes and Look Up'!$B$18</f>
        <v>0</v>
      </c>
      <c r="AO6" s="178">
        <v>1.9E-3</v>
      </c>
      <c r="AP6" s="134">
        <f>(AO6*N6)*1000</f>
        <v>23.309262485187112</v>
      </c>
      <c r="AQ6" s="131">
        <f>AP6*P6</f>
        <v>6526.5934958523912</v>
      </c>
      <c r="AR6" s="131">
        <v>0</v>
      </c>
      <c r="AS6" s="131">
        <v>0</v>
      </c>
      <c r="AT6" s="131">
        <v>0</v>
      </c>
      <c r="AU6" s="134">
        <f t="shared" si="4"/>
        <v>6.5265934958523912</v>
      </c>
      <c r="AV6" s="122">
        <v>7.1</v>
      </c>
      <c r="AW6" s="131">
        <f>AV6*L6</f>
        <v>1279.5573746493897</v>
      </c>
      <c r="AX6" s="122">
        <v>0</v>
      </c>
      <c r="AY6" s="121">
        <f t="shared" ref="AY6:AY9" si="9">(AW6+AX6)/1000</f>
        <v>1.2795573746493896</v>
      </c>
      <c r="AZ6" s="163">
        <f>AY6/AU6</f>
        <v>0.19605286823249221</v>
      </c>
      <c r="BA6" s="177">
        <f>1-AZ6</f>
        <v>0.80394713176750776</v>
      </c>
      <c r="BB6" s="164">
        <f>BA6*(AU6/P6)</f>
        <v>1.8739414718582148E-2</v>
      </c>
      <c r="BC6" s="121">
        <f>((BB6*'Notes and Look Up'!$B$21)/K6)*1000</f>
        <v>8.744934925801065E-2</v>
      </c>
      <c r="BD6" s="121">
        <f>BA6*AU6*'Notes and Look Up'!$B$21</f>
        <v>12.015712717554875</v>
      </c>
      <c r="BE6" s="121">
        <f>BD6*Q6</f>
        <v>12.015712717554875</v>
      </c>
      <c r="BF6" s="134">
        <f t="shared" si="5"/>
        <v>0</v>
      </c>
      <c r="BG6" s="147">
        <f>BF6*'Notes and Look Up'!$B$18</f>
        <v>0</v>
      </c>
      <c r="BK6" s="6"/>
    </row>
    <row r="7" spans="1:65" ht="15" hidden="1" customHeight="1" x14ac:dyDescent="0.3">
      <c r="A7" s="127" t="s">
        <v>56</v>
      </c>
      <c r="B7" s="137" t="s">
        <v>216</v>
      </c>
      <c r="C7" s="159" t="s">
        <v>28</v>
      </c>
      <c r="D7" s="282">
        <f>VLOOKUP(C7,'Notes and Look Up'!$A$1:$B$11,2,0)</f>
        <v>0.4</v>
      </c>
      <c r="E7" s="129"/>
      <c r="F7" s="129">
        <v>581</v>
      </c>
      <c r="G7" s="179">
        <f>0.675*(K5*2.2)</f>
        <v>926.1884242039373</v>
      </c>
      <c r="H7" s="142">
        <f t="shared" ref="H7" si="10">AVERAGE(F7:G7)</f>
        <v>753.59421210196865</v>
      </c>
      <c r="I7" s="131">
        <f>F7/'Notes and Look Up'!$B$18</f>
        <v>263.53987117844508</v>
      </c>
      <c r="J7" s="131">
        <f>G7/'Notes and Look Up'!$B$18</f>
        <v>420.11631325589099</v>
      </c>
      <c r="K7" s="131">
        <f t="shared" ref="K7:K9" si="11">AVERAGE(I7:J7)</f>
        <v>341.82809221716803</v>
      </c>
      <c r="L7" s="131">
        <f t="shared" ref="L7" si="12">J7-I7</f>
        <v>156.5764420774459</v>
      </c>
      <c r="M7" s="175">
        <v>2.5000000000000001E-2</v>
      </c>
      <c r="N7" s="134">
        <f t="shared" si="6"/>
        <v>8.5457023054292005</v>
      </c>
      <c r="O7" s="122">
        <v>0</v>
      </c>
      <c r="P7" s="129">
        <v>225</v>
      </c>
      <c r="Q7" s="132">
        <v>1</v>
      </c>
      <c r="R7" s="176">
        <f>L7*'Notes and Look Up'!$B$18/P7</f>
        <v>1.534170774239721</v>
      </c>
      <c r="S7" s="130">
        <f t="shared" si="0"/>
        <v>225</v>
      </c>
      <c r="T7" s="162">
        <v>0.11</v>
      </c>
      <c r="U7" s="131">
        <f>T7*N7*1000</f>
        <v>940.02725359721205</v>
      </c>
      <c r="V7" s="131">
        <f>U7*P7</f>
        <v>211506.1320593727</v>
      </c>
      <c r="W7" s="131">
        <f>V7/'Notes and Look Up'!$A$24</f>
        <v>33840.981129499633</v>
      </c>
      <c r="X7" s="131">
        <v>0</v>
      </c>
      <c r="Y7" s="131">
        <f t="shared" si="1"/>
        <v>0</v>
      </c>
      <c r="Z7" s="131">
        <f>Y7*O7</f>
        <v>0</v>
      </c>
      <c r="AA7" s="131">
        <f>Z7/'Notes and Look Up'!$A$24</f>
        <v>0</v>
      </c>
      <c r="AB7" s="134">
        <f>(AA7+W7)/1000</f>
        <v>33.840981129499632</v>
      </c>
      <c r="AC7" s="126">
        <v>26</v>
      </c>
      <c r="AD7" s="131">
        <f>AC7*(L7)</f>
        <v>4070.9874940135933</v>
      </c>
      <c r="AE7" s="126">
        <v>0</v>
      </c>
      <c r="AF7" s="121">
        <f t="shared" ref="AF7:AF9" si="13">(AD7+AE7)/1000</f>
        <v>4.0709874940135933</v>
      </c>
      <c r="AG7" s="163">
        <f>AF7/AB7</f>
        <v>0.12029756106760331</v>
      </c>
      <c r="AH7" s="177">
        <f t="shared" si="2"/>
        <v>0.87970243893239664</v>
      </c>
      <c r="AI7" s="131">
        <f t="shared" si="7"/>
        <v>29.769993635486038</v>
      </c>
      <c r="AJ7" s="121">
        <f t="shared" si="8"/>
        <v>0.38706907313025446</v>
      </c>
      <c r="AK7" s="131">
        <f>AI7*Q7</f>
        <v>29.769993635486038</v>
      </c>
      <c r="AL7" s="131">
        <f>AK7*E7</f>
        <v>0</v>
      </c>
      <c r="AM7" s="133">
        <f t="shared" si="3"/>
        <v>0</v>
      </c>
      <c r="AN7" s="142">
        <f>AM7*'Notes and Look Up'!$B$18</f>
        <v>0</v>
      </c>
      <c r="AO7" s="178">
        <v>2.2000000000000001E-3</v>
      </c>
      <c r="AP7" s="134">
        <f>(AO7*N7)*1000</f>
        <v>18.800545071944242</v>
      </c>
      <c r="AQ7" s="131">
        <f>AP7*P7</f>
        <v>4230.1226411874541</v>
      </c>
      <c r="AR7" s="131">
        <v>0</v>
      </c>
      <c r="AS7" s="131">
        <v>0</v>
      </c>
      <c r="AT7" s="131">
        <f>AR7*210</f>
        <v>0</v>
      </c>
      <c r="AU7" s="134">
        <f t="shared" si="4"/>
        <v>4.230122641187454</v>
      </c>
      <c r="AV7" s="122">
        <v>7.1</v>
      </c>
      <c r="AW7" s="131">
        <f>AV7*L7</f>
        <v>1111.6927387498658</v>
      </c>
      <c r="AX7" s="122">
        <v>0</v>
      </c>
      <c r="AY7" s="121">
        <f t="shared" si="9"/>
        <v>1.1116927387498658</v>
      </c>
      <c r="AZ7" s="163">
        <f>AY7/AU7</f>
        <v>0.26280390263999492</v>
      </c>
      <c r="BA7" s="177">
        <f>1-AZ7</f>
        <v>0.73719609736000513</v>
      </c>
      <c r="BB7" s="164">
        <f>BA7*(AU7/P7)</f>
        <v>1.3859688455278171E-2</v>
      </c>
      <c r="BC7" s="121">
        <f>((BB7*'Notes and Look Up'!$B$21)/K7)*1000</f>
        <v>9.2849848462492654E-2</v>
      </c>
      <c r="BD7" s="121">
        <f>BA7*AU7*'Notes and Look Up'!$B$21</f>
        <v>7.1412044765820779</v>
      </c>
      <c r="BE7" s="121">
        <f>BD7*Q7</f>
        <v>7.1412044765820779</v>
      </c>
      <c r="BF7" s="134">
        <f t="shared" si="5"/>
        <v>0</v>
      </c>
      <c r="BG7" s="147">
        <f>BF7*'Notes and Look Up'!$B$18</f>
        <v>0</v>
      </c>
      <c r="BK7" s="6"/>
    </row>
    <row r="8" spans="1:65" ht="15" hidden="1" customHeight="1" x14ac:dyDescent="0.3">
      <c r="A8" s="127" t="s">
        <v>56</v>
      </c>
      <c r="B8" s="137" t="s">
        <v>217</v>
      </c>
      <c r="C8" s="159" t="s">
        <v>28</v>
      </c>
      <c r="D8" s="282">
        <f>VLOOKUP(C8,'Notes and Look Up'!$A$1:$B$11,2,0)</f>
        <v>0.4</v>
      </c>
      <c r="E8" s="129"/>
      <c r="F8" s="129">
        <v>86</v>
      </c>
      <c r="G8" s="129">
        <v>581</v>
      </c>
      <c r="H8" s="142">
        <f>AVERAGE(F8:G8)</f>
        <v>333.5</v>
      </c>
      <c r="I8" s="131">
        <f>F8/'Notes and Look Up'!$B$18</f>
        <v>39.009344098702712</v>
      </c>
      <c r="J8" s="131">
        <f>G8/'Notes and Look Up'!$B$18</f>
        <v>263.53987117844508</v>
      </c>
      <c r="K8" s="131">
        <f t="shared" si="11"/>
        <v>151.27460763857391</v>
      </c>
      <c r="L8" s="131">
        <f>J8-I8</f>
        <v>224.53052707974237</v>
      </c>
      <c r="M8" s="175">
        <v>2.5000000000000001E-2</v>
      </c>
      <c r="N8" s="134">
        <f t="shared" si="6"/>
        <v>3.7818651909643481</v>
      </c>
      <c r="O8" s="122">
        <v>210</v>
      </c>
      <c r="P8" s="129">
        <v>210</v>
      </c>
      <c r="Q8" s="132">
        <v>1</v>
      </c>
      <c r="R8" s="176">
        <f>L8*'Notes and Look Up'!$B$18/P8</f>
        <v>2.3571428571428572</v>
      </c>
      <c r="S8" s="130">
        <f t="shared" si="0"/>
        <v>210</v>
      </c>
      <c r="T8" s="162">
        <v>0.11</v>
      </c>
      <c r="U8" s="131">
        <f>T8*N8*1000</f>
        <v>416.00517100607829</v>
      </c>
      <c r="V8" s="131">
        <f>U8*P8</f>
        <v>87361.085911276445</v>
      </c>
      <c r="W8" s="131">
        <f>V8/'Notes and Look Up'!$A$24</f>
        <v>13977.773745804232</v>
      </c>
      <c r="X8" s="134">
        <v>5.8</v>
      </c>
      <c r="Y8" s="131">
        <f>(X8*1000)*0.038</f>
        <v>220.4</v>
      </c>
      <c r="Z8" s="131">
        <f>Y8*O8</f>
        <v>46284</v>
      </c>
      <c r="AA8" s="131">
        <f>Z8/'Notes and Look Up'!$A$24</f>
        <v>7405.44</v>
      </c>
      <c r="AB8" s="134">
        <f>(AA8+W8)/1000</f>
        <v>21.38321374580423</v>
      </c>
      <c r="AC8" s="126">
        <v>26</v>
      </c>
      <c r="AD8" s="131">
        <f>AC8*(L8)</f>
        <v>5837.7937040733013</v>
      </c>
      <c r="AE8" s="126">
        <v>0</v>
      </c>
      <c r="AF8" s="121">
        <f t="shared" si="13"/>
        <v>5.8377937040733014</v>
      </c>
      <c r="AG8" s="163">
        <f>AF8/AB8</f>
        <v>0.27300824719197231</v>
      </c>
      <c r="AH8" s="177">
        <f t="shared" si="2"/>
        <v>0.72699175280802764</v>
      </c>
      <c r="AI8" s="131">
        <f t="shared" si="7"/>
        <v>15.545420041730928</v>
      </c>
      <c r="AJ8" s="121">
        <f t="shared" si="8"/>
        <v>0.48934722672949238</v>
      </c>
      <c r="AK8" s="131">
        <f>AI8*Q8</f>
        <v>15.545420041730928</v>
      </c>
      <c r="AL8" s="131">
        <f>AK8*E8</f>
        <v>0</v>
      </c>
      <c r="AM8" s="133">
        <f t="shared" si="3"/>
        <v>0</v>
      </c>
      <c r="AN8" s="142">
        <f>AM8*'Notes and Look Up'!$B$18</f>
        <v>0</v>
      </c>
      <c r="AO8" s="178">
        <v>2.2000000000000001E-3</v>
      </c>
      <c r="AP8" s="134">
        <f>(AO8*N8)*1000</f>
        <v>8.3201034201215673</v>
      </c>
      <c r="AQ8" s="131">
        <f>AP8*P8</f>
        <v>1747.2217182255292</v>
      </c>
      <c r="AR8" s="134">
        <v>5.8</v>
      </c>
      <c r="AS8" s="134">
        <f>(AR8)*1.2</f>
        <v>6.96</v>
      </c>
      <c r="AT8" s="131">
        <f>AS8*O8</f>
        <v>1461.6</v>
      </c>
      <c r="AU8" s="134">
        <f>(AT8+AQ8)/1000</f>
        <v>3.2088217182255292</v>
      </c>
      <c r="AV8" s="122">
        <v>7.1</v>
      </c>
      <c r="AW8" s="131">
        <f>AV8*L8</f>
        <v>1594.1667422661708</v>
      </c>
      <c r="AX8" s="122">
        <v>0</v>
      </c>
      <c r="AY8" s="121">
        <f t="shared" si="9"/>
        <v>1.5941667422661707</v>
      </c>
      <c r="AZ8" s="163">
        <f>AY8/AU8</f>
        <v>0.49680751448782301</v>
      </c>
      <c r="BA8" s="177">
        <f>1-AZ8</f>
        <v>0.50319248551217699</v>
      </c>
      <c r="BB8" s="164">
        <f>BA8*(AU8/P8)</f>
        <v>7.6888332188540876E-3</v>
      </c>
      <c r="BC8" s="121">
        <f>((BB8*'Notes and Look Up'!$B$21)/K8)*1000</f>
        <v>0.11639381087170704</v>
      </c>
      <c r="BD8" s="121">
        <f>BA8*AU8*'Notes and Look Up'!$B$21</f>
        <v>3.6975598949469308</v>
      </c>
      <c r="BE8" s="121">
        <f>BD8*Q8</f>
        <v>3.6975598949469308</v>
      </c>
      <c r="BF8" s="134">
        <f t="shared" si="5"/>
        <v>0</v>
      </c>
      <c r="BG8" s="147">
        <f>BF8*'Notes and Look Up'!$B$18</f>
        <v>0</v>
      </c>
    </row>
    <row r="9" spans="1:65" ht="15" hidden="1" customHeight="1" x14ac:dyDescent="0.3">
      <c r="A9" s="127" t="s">
        <v>56</v>
      </c>
      <c r="B9" s="137" t="s">
        <v>17</v>
      </c>
      <c r="C9" s="159" t="s">
        <v>28</v>
      </c>
      <c r="D9" s="282">
        <f>VLOOKUP(C9,'Notes and Look Up'!$A$1:$B$11,2,0)</f>
        <v>0.4</v>
      </c>
      <c r="E9" s="129"/>
      <c r="F9" s="129">
        <v>2100</v>
      </c>
      <c r="G9" s="129">
        <v>2200</v>
      </c>
      <c r="H9" s="142">
        <f t="shared" ref="H9" si="14">AVERAGE(F9:G9)</f>
        <v>2150</v>
      </c>
      <c r="I9" s="131">
        <f>F9/'Notes and Look Up'!$B$18</f>
        <v>952.5537512473918</v>
      </c>
      <c r="J9" s="131">
        <f>G9/'Notes and Look Up'!$B$18</f>
        <v>997.91345368774375</v>
      </c>
      <c r="K9" s="131">
        <f t="shared" si="11"/>
        <v>975.23360246756783</v>
      </c>
      <c r="L9" s="131">
        <f t="shared" ref="L9" si="15">J9-I9</f>
        <v>45.359702440351953</v>
      </c>
      <c r="M9" s="175">
        <v>2.5000000000000001E-2</v>
      </c>
      <c r="N9" s="134">
        <f t="shared" si="6"/>
        <v>24.380840061689199</v>
      </c>
      <c r="O9" s="122">
        <v>0</v>
      </c>
      <c r="P9" s="129">
        <v>365</v>
      </c>
      <c r="Q9" s="132">
        <v>1</v>
      </c>
      <c r="R9" s="176"/>
      <c r="S9" s="130">
        <f>P9*Q9</f>
        <v>365</v>
      </c>
      <c r="T9" s="162">
        <v>0.1</v>
      </c>
      <c r="U9" s="131">
        <f>T9*N9*1000</f>
        <v>2438.08400616892</v>
      </c>
      <c r="V9" s="131">
        <f>U9*P9</f>
        <v>889900.66225165583</v>
      </c>
      <c r="W9" s="131">
        <f>V9/'Notes and Look Up'!$A$24</f>
        <v>142384.10596026492</v>
      </c>
      <c r="X9" s="131">
        <v>0</v>
      </c>
      <c r="Y9" s="131">
        <f t="shared" ref="Y9" si="16">(X9*1000)*0.033</f>
        <v>0</v>
      </c>
      <c r="Z9" s="131">
        <f>Y9*O9</f>
        <v>0</v>
      </c>
      <c r="AA9" s="131">
        <f>Z9/'Notes and Look Up'!$A$24</f>
        <v>0</v>
      </c>
      <c r="AB9" s="134">
        <f>(AA9+W9)/1000</f>
        <v>142.38410596026492</v>
      </c>
      <c r="AC9" s="126">
        <v>26</v>
      </c>
      <c r="AD9" s="131">
        <f>AC9*(L9)</f>
        <v>1179.3522634491508</v>
      </c>
      <c r="AE9" s="126">
        <v>0</v>
      </c>
      <c r="AF9" s="121">
        <f t="shared" si="13"/>
        <v>1.1793522634491507</v>
      </c>
      <c r="AG9" s="163">
        <f>AF9/AB9</f>
        <v>8.282892640968452E-3</v>
      </c>
      <c r="AH9" s="177">
        <f t="shared" si="2"/>
        <v>0.99171710735903151</v>
      </c>
      <c r="AI9" s="131">
        <f t="shared" si="7"/>
        <v>141.20475369681577</v>
      </c>
      <c r="AJ9" s="121">
        <f t="shared" si="8"/>
        <v>0.39668684294361267</v>
      </c>
      <c r="AK9" s="131">
        <f>AI9*Q9</f>
        <v>141.20475369681577</v>
      </c>
      <c r="AL9" s="131">
        <f>AK9*E9</f>
        <v>0</v>
      </c>
      <c r="AM9" s="133">
        <f t="shared" si="3"/>
        <v>0</v>
      </c>
      <c r="AN9" s="142">
        <f>AM9*'Notes and Look Up'!$B$18</f>
        <v>0</v>
      </c>
      <c r="AO9" s="178">
        <v>1.9E-3</v>
      </c>
      <c r="AP9" s="134">
        <f>(AO9*N9)*1000</f>
        <v>46.323596117209483</v>
      </c>
      <c r="AQ9" s="131">
        <f>AP9*P9</f>
        <v>16908.112582781461</v>
      </c>
      <c r="AR9" s="122">
        <v>0</v>
      </c>
      <c r="AS9" s="122">
        <v>0</v>
      </c>
      <c r="AT9" s="131">
        <v>0</v>
      </c>
      <c r="AU9" s="134">
        <f>(AT9+AQ9)/1000</f>
        <v>16.90811258278146</v>
      </c>
      <c r="AV9" s="122">
        <v>7.1</v>
      </c>
      <c r="AW9" s="131">
        <f>AV9*L9</f>
        <v>322.05388732649885</v>
      </c>
      <c r="AX9" s="122">
        <v>0</v>
      </c>
      <c r="AY9" s="121">
        <f t="shared" si="9"/>
        <v>0.32205388732649887</v>
      </c>
      <c r="AZ9" s="163">
        <f>AY9/AU9</f>
        <v>1.9047299676397091E-2</v>
      </c>
      <c r="BA9" s="177">
        <f>1-AZ9</f>
        <v>0.98095270032360293</v>
      </c>
      <c r="BB9" s="164">
        <f>BA9*(AU9/P9)</f>
        <v>4.5441256699876607E-2</v>
      </c>
      <c r="BC9" s="121">
        <f>((BB9*'Notes and Look Up'!$B$21)/K9)*1000</f>
        <v>0.10670312997769993</v>
      </c>
      <c r="BD9" s="121">
        <f>BA9*AU9*'Notes and Look Up'!$B$21</f>
        <v>37.982074412591864</v>
      </c>
      <c r="BE9" s="121">
        <f>BD9*Q9</f>
        <v>37.982074412591864</v>
      </c>
      <c r="BF9" s="134">
        <f t="shared" si="5"/>
        <v>0</v>
      </c>
      <c r="BG9" s="147">
        <f>BF9*'Notes and Look Up'!$B$18</f>
        <v>0</v>
      </c>
    </row>
    <row r="10" spans="1:65" s="123" customFormat="1" ht="24.9" x14ac:dyDescent="0.4">
      <c r="A10" s="127" t="s">
        <v>56</v>
      </c>
      <c r="B10" s="128" t="s">
        <v>218</v>
      </c>
      <c r="C10" s="120" t="s">
        <v>28</v>
      </c>
      <c r="D10" s="282">
        <f>VLOOKUP(C10,'Notes and Look Up'!$A$1:$B$11,2,0)</f>
        <v>0.4</v>
      </c>
      <c r="E10" s="129"/>
      <c r="F10" s="129" t="s">
        <v>47</v>
      </c>
      <c r="G10" s="129" t="s">
        <v>47</v>
      </c>
      <c r="H10" s="130" t="s">
        <v>47</v>
      </c>
      <c r="I10" s="131" t="s">
        <v>47</v>
      </c>
      <c r="J10" s="131" t="s">
        <v>47</v>
      </c>
      <c r="K10" s="122" t="s">
        <v>47</v>
      </c>
      <c r="L10" s="122" t="s">
        <v>47</v>
      </c>
      <c r="M10" s="122" t="s">
        <v>47</v>
      </c>
      <c r="N10" s="121" t="s">
        <v>47</v>
      </c>
      <c r="O10" s="122" t="s">
        <v>47</v>
      </c>
      <c r="P10" s="129" t="s">
        <v>47</v>
      </c>
      <c r="Q10" s="132" t="s">
        <v>47</v>
      </c>
      <c r="R10" s="130" t="s">
        <v>47</v>
      </c>
      <c r="S10" s="130" t="s">
        <v>47</v>
      </c>
      <c r="T10" s="122" t="s">
        <v>47</v>
      </c>
      <c r="U10" s="122" t="s">
        <v>47</v>
      </c>
      <c r="V10" s="122" t="s">
        <v>47</v>
      </c>
      <c r="W10" s="122" t="s">
        <v>47</v>
      </c>
      <c r="X10" s="122" t="s">
        <v>47</v>
      </c>
      <c r="Y10" s="122" t="s">
        <v>47</v>
      </c>
      <c r="Z10" s="122" t="s">
        <v>47</v>
      </c>
      <c r="AA10" s="122" t="s">
        <v>47</v>
      </c>
      <c r="AB10" s="122" t="s">
        <v>47</v>
      </c>
      <c r="AC10" s="131" t="s">
        <v>47</v>
      </c>
      <c r="AD10" s="122" t="s">
        <v>47</v>
      </c>
      <c r="AE10" s="122" t="s">
        <v>47</v>
      </c>
      <c r="AF10" s="122" t="s">
        <v>47</v>
      </c>
      <c r="AG10" s="122" t="s">
        <v>47</v>
      </c>
      <c r="AH10" s="122" t="s">
        <v>47</v>
      </c>
      <c r="AI10" s="131" t="s">
        <v>47</v>
      </c>
      <c r="AJ10" s="131" t="s">
        <v>47</v>
      </c>
      <c r="AK10" s="131">
        <v>101.64652021420092</v>
      </c>
      <c r="AL10" s="131">
        <f>+E10*AK10</f>
        <v>0</v>
      </c>
      <c r="AM10" s="133">
        <f t="shared" si="3"/>
        <v>0</v>
      </c>
      <c r="AN10" s="142">
        <f>AM10*'Notes and Look Up'!$B$18</f>
        <v>0</v>
      </c>
      <c r="AO10" s="122" t="s">
        <v>47</v>
      </c>
      <c r="AP10" s="122" t="s">
        <v>47</v>
      </c>
      <c r="AQ10" s="122" t="s">
        <v>47</v>
      </c>
      <c r="AR10" s="122" t="s">
        <v>47</v>
      </c>
      <c r="AS10" s="122" t="s">
        <v>47</v>
      </c>
      <c r="AT10" s="122" t="s">
        <v>47</v>
      </c>
      <c r="AU10" s="122" t="s">
        <v>47</v>
      </c>
      <c r="AV10" s="122" t="s">
        <v>47</v>
      </c>
      <c r="AW10" s="122" t="s">
        <v>47</v>
      </c>
      <c r="AX10" s="122" t="s">
        <v>47</v>
      </c>
      <c r="AY10" s="122" t="s">
        <v>47</v>
      </c>
      <c r="AZ10" s="122" t="s">
        <v>47</v>
      </c>
      <c r="BA10" s="122" t="s">
        <v>47</v>
      </c>
      <c r="BB10" s="122" t="s">
        <v>47</v>
      </c>
      <c r="BC10" s="121" t="s">
        <v>47</v>
      </c>
      <c r="BD10" s="122" t="s">
        <v>47</v>
      </c>
      <c r="BE10" s="121">
        <v>25.232537588632471</v>
      </c>
      <c r="BF10" s="134">
        <f t="shared" si="5"/>
        <v>0</v>
      </c>
      <c r="BG10" s="147">
        <f>BF10*'Notes and Look Up'!$B$18</f>
        <v>0</v>
      </c>
    </row>
    <row r="11" spans="1:65" ht="15" customHeight="1" x14ac:dyDescent="0.3">
      <c r="A11" s="127"/>
      <c r="B11" s="137"/>
      <c r="C11" s="120"/>
      <c r="D11" s="282"/>
      <c r="E11" s="129"/>
      <c r="F11" s="129"/>
      <c r="G11" s="129"/>
      <c r="H11" s="142"/>
      <c r="I11" s="122"/>
      <c r="J11" s="122"/>
      <c r="K11" s="131"/>
      <c r="L11" s="122"/>
      <c r="M11" s="162"/>
      <c r="N11" s="165"/>
      <c r="O11" s="122"/>
      <c r="P11" s="129"/>
      <c r="Q11" s="132"/>
      <c r="R11" s="130"/>
      <c r="S11" s="130"/>
      <c r="T11" s="175"/>
      <c r="U11" s="131"/>
      <c r="V11" s="122"/>
      <c r="W11" s="131"/>
      <c r="X11" s="180"/>
      <c r="Y11" s="180"/>
      <c r="Z11" s="160"/>
      <c r="AA11" s="180"/>
      <c r="AB11" s="134"/>
      <c r="AC11" s="126"/>
      <c r="AD11" s="126"/>
      <c r="AE11" s="126"/>
      <c r="AF11" s="121"/>
      <c r="AG11" s="163"/>
      <c r="AH11" s="177"/>
      <c r="AI11" s="181"/>
      <c r="AJ11" s="131"/>
      <c r="AK11" s="121"/>
      <c r="AL11" s="131"/>
      <c r="AM11" s="182"/>
      <c r="AN11" s="142"/>
      <c r="AO11" s="160"/>
      <c r="AP11" s="134"/>
      <c r="AQ11" s="131"/>
      <c r="AR11" s="131"/>
      <c r="AS11" s="131"/>
      <c r="AT11" s="131"/>
      <c r="AU11" s="134"/>
      <c r="AV11" s="122"/>
      <c r="AW11" s="131"/>
      <c r="AX11" s="122"/>
      <c r="AY11" s="121"/>
      <c r="AZ11" s="163"/>
      <c r="BA11" s="177"/>
      <c r="BB11" s="122"/>
      <c r="BC11" s="121"/>
      <c r="BD11" s="121"/>
      <c r="BE11" s="121"/>
      <c r="BF11" s="183"/>
      <c r="BG11" s="147"/>
      <c r="BM11" s="124"/>
    </row>
    <row r="12" spans="1:65" ht="15" customHeight="1" x14ac:dyDescent="0.3">
      <c r="A12" s="127" t="s">
        <v>18</v>
      </c>
      <c r="B12" s="137" t="s">
        <v>219</v>
      </c>
      <c r="C12" s="120" t="s">
        <v>28</v>
      </c>
      <c r="D12" s="282">
        <f>VLOOKUP(C12,'Notes and Look Up'!$A$1:$B$11,2,0)</f>
        <v>0.4</v>
      </c>
      <c r="E12" s="129"/>
      <c r="F12" s="129">
        <v>581</v>
      </c>
      <c r="G12" s="129">
        <v>1300</v>
      </c>
      <c r="H12" s="142">
        <f t="shared" ref="H12:H16" si="17">AVERAGE(F12:G12)</f>
        <v>940.5</v>
      </c>
      <c r="I12" s="131">
        <f>F12/'Notes and Look Up'!$B$18</f>
        <v>263.53987117844508</v>
      </c>
      <c r="J12" s="131">
        <f>G12/'Notes and Look Up'!$B$18</f>
        <v>589.67613172457584</v>
      </c>
      <c r="K12" s="131">
        <f>AVERAGE(I12:J12)</f>
        <v>426.60800145151046</v>
      </c>
      <c r="L12" s="131">
        <f t="shared" ref="L12:L16" si="18">J12-I12</f>
        <v>326.13626054613076</v>
      </c>
      <c r="M12" s="184">
        <v>2.1000000000000001E-2</v>
      </c>
      <c r="N12" s="134">
        <f>K12*M12</f>
        <v>8.9587680304817194</v>
      </c>
      <c r="O12" s="122">
        <v>0</v>
      </c>
      <c r="P12" s="129">
        <v>240</v>
      </c>
      <c r="Q12" s="132">
        <v>1</v>
      </c>
      <c r="R12" s="176">
        <f>L12*'Notes and Look Up'!$B$18/P12</f>
        <v>2.9958333333333327</v>
      </c>
      <c r="S12" s="130">
        <f>P12*Q12</f>
        <v>240</v>
      </c>
      <c r="T12" s="162">
        <v>0.12</v>
      </c>
      <c r="U12" s="131">
        <f>T12*N12*1000</f>
        <v>1075.0521636578062</v>
      </c>
      <c r="V12" s="131">
        <f>U12*P12</f>
        <v>258012.51927787348</v>
      </c>
      <c r="W12" s="131">
        <f>V12/'Notes and Look Up'!$A$24</f>
        <v>41282.003084459757</v>
      </c>
      <c r="X12" s="131">
        <v>0</v>
      </c>
      <c r="Y12" s="131">
        <f t="shared" ref="Y12" si="19">(X12*1000)*0.033</f>
        <v>0</v>
      </c>
      <c r="Z12" s="131">
        <f>Y12*O12</f>
        <v>0</v>
      </c>
      <c r="AA12" s="131">
        <f>Z12/'Notes and Look Up'!$A$24</f>
        <v>0</v>
      </c>
      <c r="AB12" s="134">
        <f>(AA12+W12)/1000</f>
        <v>41.28200308445976</v>
      </c>
      <c r="AC12" s="126">
        <v>26</v>
      </c>
      <c r="AD12" s="131">
        <f>AC12*(L12)</f>
        <v>8479.542774199399</v>
      </c>
      <c r="AE12" s="126">
        <v>0</v>
      </c>
      <c r="AF12" s="121">
        <f t="shared" ref="AF12" si="20">(AD12+AE12)/1000</f>
        <v>8.4795427741993983</v>
      </c>
      <c r="AG12" s="163">
        <f>AF12/AB12</f>
        <v>0.2054053132269506</v>
      </c>
      <c r="AH12" s="177">
        <f t="shared" ref="AH12" si="21">1-AG12</f>
        <v>0.79459468677304934</v>
      </c>
      <c r="AI12" s="131">
        <f>AH12*AB12</f>
        <v>32.802460310260358</v>
      </c>
      <c r="AJ12" s="121">
        <f>AI12/P12/K12*1000</f>
        <v>0.32038057770689343</v>
      </c>
      <c r="AK12" s="131">
        <f>AI12*Q12</f>
        <v>32.802460310260358</v>
      </c>
      <c r="AL12" s="131">
        <f>AK12*E12</f>
        <v>0</v>
      </c>
      <c r="AM12" s="133">
        <f>AL12*(1-D12)</f>
        <v>0</v>
      </c>
      <c r="AN12" s="142">
        <f>AM12*'Notes and Look Up'!$B$18</f>
        <v>0</v>
      </c>
      <c r="AO12" s="178">
        <v>3.3E-3</v>
      </c>
      <c r="AP12" s="134">
        <f>(AO12*N12)*1000</f>
        <v>29.563934500589674</v>
      </c>
      <c r="AQ12" s="131">
        <f>AP12*P12</f>
        <v>7095.3442801415222</v>
      </c>
      <c r="AR12" s="131">
        <v>0</v>
      </c>
      <c r="AS12" s="131">
        <v>0</v>
      </c>
      <c r="AT12" s="131">
        <v>0</v>
      </c>
      <c r="AU12" s="134">
        <f>(AT12+AQ12)/1000</f>
        <v>7.0953442801415223</v>
      </c>
      <c r="AV12" s="122">
        <v>7.1</v>
      </c>
      <c r="AW12" s="131">
        <f>AV12*L12</f>
        <v>2315.5674498775284</v>
      </c>
      <c r="AX12" s="122">
        <v>0</v>
      </c>
      <c r="AY12" s="121">
        <f t="shared" ref="AY12" si="22">(AW12+AX12)/1000</f>
        <v>2.3155674498775283</v>
      </c>
      <c r="AZ12" s="163">
        <f>AY12/AU12</f>
        <v>0.326350259896246</v>
      </c>
      <c r="BA12" s="177">
        <f>1-AZ12</f>
        <v>0.673649740103754</v>
      </c>
      <c r="BB12" s="164">
        <f>BA12*(AU12/P12)</f>
        <v>1.9915736792766644E-2</v>
      </c>
      <c r="BC12" s="121">
        <f>((BB12*'Notes and Look Up'!$B$21)/K12)*1000</f>
        <v>0.10690619280524546</v>
      </c>
      <c r="BD12" s="121">
        <f>BA12*AU12*'Notes and Look Up'!$B$21</f>
        <v>10.945688941304548</v>
      </c>
      <c r="BE12" s="121">
        <f>BD12*Q12</f>
        <v>10.945688941304548</v>
      </c>
      <c r="BF12" s="134">
        <f>BE12*E12</f>
        <v>0</v>
      </c>
      <c r="BG12" s="147">
        <f>BF12*'Notes and Look Up'!$B$18</f>
        <v>0</v>
      </c>
    </row>
    <row r="13" spans="1:65" ht="15" customHeight="1" x14ac:dyDescent="0.3">
      <c r="A13" s="127"/>
      <c r="B13" s="137"/>
      <c r="C13" s="120"/>
      <c r="D13" s="282"/>
      <c r="E13" s="129"/>
      <c r="F13" s="129"/>
      <c r="G13" s="129"/>
      <c r="H13" s="142"/>
      <c r="I13" s="131"/>
      <c r="J13" s="131"/>
      <c r="K13" s="131"/>
      <c r="L13" s="131"/>
      <c r="M13" s="184"/>
      <c r="N13" s="165"/>
      <c r="O13" s="122"/>
      <c r="P13" s="129"/>
      <c r="Q13" s="132"/>
      <c r="R13" s="130"/>
      <c r="S13" s="130"/>
      <c r="T13" s="162"/>
      <c r="U13" s="131"/>
      <c r="V13" s="122"/>
      <c r="W13" s="131"/>
      <c r="X13" s="131"/>
      <c r="Y13" s="131"/>
      <c r="Z13" s="160"/>
      <c r="AA13" s="131"/>
      <c r="AB13" s="134"/>
      <c r="AC13" s="126"/>
      <c r="AD13" s="131"/>
      <c r="AE13" s="126"/>
      <c r="AF13" s="121"/>
      <c r="AG13" s="163"/>
      <c r="AH13" s="177"/>
      <c r="AI13" s="131"/>
      <c r="AJ13" s="131"/>
      <c r="AK13" s="121"/>
      <c r="AL13" s="131"/>
      <c r="AM13" s="133"/>
      <c r="AN13" s="142"/>
      <c r="AO13" s="160"/>
      <c r="AP13" s="134"/>
      <c r="AQ13" s="131"/>
      <c r="AR13" s="131"/>
      <c r="AS13" s="131"/>
      <c r="AT13" s="131"/>
      <c r="AU13" s="134"/>
      <c r="AV13" s="122"/>
      <c r="AW13" s="131"/>
      <c r="AX13" s="122"/>
      <c r="AY13" s="121"/>
      <c r="AZ13" s="163"/>
      <c r="BA13" s="177"/>
      <c r="BB13" s="164"/>
      <c r="BC13" s="121"/>
      <c r="BD13" s="121"/>
      <c r="BE13" s="121"/>
      <c r="BF13" s="134"/>
      <c r="BG13" s="147"/>
    </row>
    <row r="14" spans="1:65" ht="15" customHeight="1" x14ac:dyDescent="0.3">
      <c r="A14" s="127" t="s">
        <v>18</v>
      </c>
      <c r="B14" s="137" t="s">
        <v>220</v>
      </c>
      <c r="C14" s="120" t="s">
        <v>28</v>
      </c>
      <c r="D14" s="282">
        <f>VLOOKUP(C14,'Notes and Look Up'!$A$1:$B$11,2,0)</f>
        <v>0.4</v>
      </c>
      <c r="E14" s="129"/>
      <c r="F14" s="129">
        <v>975</v>
      </c>
      <c r="G14" s="129">
        <v>1300</v>
      </c>
      <c r="H14" s="142">
        <f t="shared" si="17"/>
        <v>1137.5</v>
      </c>
      <c r="I14" s="131">
        <f>F14/'Notes and Look Up'!$B$18</f>
        <v>442.25709879343191</v>
      </c>
      <c r="J14" s="131">
        <f>G14/'Notes and Look Up'!$B$18</f>
        <v>589.67613172457584</v>
      </c>
      <c r="K14" s="131">
        <f>AVERAGE(I14:J14)</f>
        <v>515.9666152590039</v>
      </c>
      <c r="L14" s="131">
        <f t="shared" si="18"/>
        <v>147.41903293114393</v>
      </c>
      <c r="M14" s="184">
        <v>2.1000000000000001E-2</v>
      </c>
      <c r="N14" s="134">
        <f t="shared" ref="N14:N16" si="23">K14*M14</f>
        <v>10.835298920439083</v>
      </c>
      <c r="O14" s="122">
        <v>0</v>
      </c>
      <c r="P14" s="129">
        <v>116</v>
      </c>
      <c r="Q14" s="132">
        <v>1</v>
      </c>
      <c r="R14" s="176">
        <f>L14*'Notes and Look Up'!$B$18/P14</f>
        <v>2.8017241379310338</v>
      </c>
      <c r="S14" s="130">
        <f>P14*Q14</f>
        <v>116</v>
      </c>
      <c r="T14" s="162">
        <v>0.12</v>
      </c>
      <c r="U14" s="131">
        <f>T14*N14*1000</f>
        <v>1300.2358704526901</v>
      </c>
      <c r="V14" s="131">
        <f>U14*P14</f>
        <v>150827.36097251205</v>
      </c>
      <c r="W14" s="131">
        <f>V14/'Notes and Look Up'!$A$24</f>
        <v>24132.377755601927</v>
      </c>
      <c r="X14" s="131">
        <v>0</v>
      </c>
      <c r="Y14" s="131">
        <v>0</v>
      </c>
      <c r="Z14" s="122">
        <v>0</v>
      </c>
      <c r="AA14" s="131">
        <f>Z14/'Notes and Look Up'!$A$24</f>
        <v>0</v>
      </c>
      <c r="AB14" s="134">
        <f>(AA14+W14)/1000</f>
        <v>24.132377755601926</v>
      </c>
      <c r="AC14" s="126">
        <v>26</v>
      </c>
      <c r="AD14" s="131">
        <f>AC14*(L14)</f>
        <v>3832.8948562097421</v>
      </c>
      <c r="AE14" s="126">
        <v>0</v>
      </c>
      <c r="AF14" s="121">
        <f t="shared" ref="AF14:AF16" si="24">(AD14+AE14)/1000</f>
        <v>3.8328948562097422</v>
      </c>
      <c r="AG14" s="163">
        <f>AF14/AB14</f>
        <v>0.15882789897568217</v>
      </c>
      <c r="AH14" s="177">
        <f t="shared" ref="AH14:AH16" si="25">1-AG14</f>
        <v>0.84117210102431783</v>
      </c>
      <c r="AI14" s="131">
        <f t="shared" ref="AI14:AI16" si="26">AH14*AB14</f>
        <v>20.299482899392185</v>
      </c>
      <c r="AJ14" s="121">
        <f t="shared" ref="AJ14:AJ16" si="27">AI14/P14/K14*1000</f>
        <v>0.33916059113300506</v>
      </c>
      <c r="AK14" s="131">
        <f>AI14*Q14</f>
        <v>20.299482899392185</v>
      </c>
      <c r="AL14" s="131">
        <f>AK14*E14</f>
        <v>0</v>
      </c>
      <c r="AM14" s="133">
        <f>AL14*(1-D14)</f>
        <v>0</v>
      </c>
      <c r="AN14" s="142">
        <f>AM14*'Notes and Look Up'!$B$18</f>
        <v>0</v>
      </c>
      <c r="AO14" s="178">
        <v>3.3E-3</v>
      </c>
      <c r="AP14" s="134">
        <f>(AO14*N14)*1000</f>
        <v>35.756486437448977</v>
      </c>
      <c r="AQ14" s="131">
        <f>AP14*P14</f>
        <v>4147.7524267440813</v>
      </c>
      <c r="AR14" s="122">
        <v>0</v>
      </c>
      <c r="AS14" s="122">
        <v>0</v>
      </c>
      <c r="AT14" s="122">
        <v>0</v>
      </c>
      <c r="AU14" s="134">
        <f t="shared" ref="AU14:AU16" si="28">(AT14+AQ14)/1000</f>
        <v>4.1477524267440815</v>
      </c>
      <c r="AV14" s="122">
        <v>7.1</v>
      </c>
      <c r="AW14" s="131">
        <f>AV14*L14</f>
        <v>1046.6751338111219</v>
      </c>
      <c r="AX14" s="122">
        <v>0</v>
      </c>
      <c r="AY14" s="121">
        <f t="shared" ref="AY14:AY16" si="29">(AW14+AX14)/1000</f>
        <v>1.046675133811122</v>
      </c>
      <c r="AZ14" s="163">
        <f>AY14/AU14</f>
        <v>0.25234754298793699</v>
      </c>
      <c r="BA14" s="177">
        <f>1-AZ14</f>
        <v>0.74765245701206307</v>
      </c>
      <c r="BB14" s="164">
        <f>BA14*(AU14/P14)</f>
        <v>2.6733424939077238E-2</v>
      </c>
      <c r="BC14" s="121">
        <f>((BB14*'Notes and Look Up'!$B$21)/K14)*1000</f>
        <v>0.1186502019704434</v>
      </c>
      <c r="BD14" s="121">
        <f>BA14*AU14*'Notes and Look Up'!$B$21</f>
        <v>7.101467000816478</v>
      </c>
      <c r="BE14" s="121">
        <f>BD14*Q14</f>
        <v>7.101467000816478</v>
      </c>
      <c r="BF14" s="134">
        <f>BE14*E14</f>
        <v>0</v>
      </c>
      <c r="BG14" s="147">
        <f>BF14*'Notes and Look Up'!$B$18</f>
        <v>0</v>
      </c>
    </row>
    <row r="15" spans="1:65" ht="15" customHeight="1" x14ac:dyDescent="0.3">
      <c r="A15" s="127" t="s">
        <v>18</v>
      </c>
      <c r="B15" s="137" t="s">
        <v>221</v>
      </c>
      <c r="C15" s="120" t="s">
        <v>28</v>
      </c>
      <c r="D15" s="282">
        <f>VLOOKUP(C15,'Notes and Look Up'!$A$1:$B$11,2,0)</f>
        <v>0.4</v>
      </c>
      <c r="E15" s="129"/>
      <c r="F15" s="129">
        <v>793</v>
      </c>
      <c r="G15" s="129">
        <v>975</v>
      </c>
      <c r="H15" s="142">
        <f t="shared" si="17"/>
        <v>884</v>
      </c>
      <c r="I15" s="131">
        <f>F15/'Notes and Look Up'!$B$18</f>
        <v>359.7024403519913</v>
      </c>
      <c r="J15" s="131">
        <f>G15/'Notes and Look Up'!$B$18</f>
        <v>442.25709879343191</v>
      </c>
      <c r="K15" s="131">
        <f t="shared" ref="K15:K16" si="30">AVERAGE(I15:J15)</f>
        <v>400.97976957271158</v>
      </c>
      <c r="L15" s="131">
        <f t="shared" si="18"/>
        <v>82.554658441440608</v>
      </c>
      <c r="M15" s="184">
        <v>2.3E-2</v>
      </c>
      <c r="N15" s="134">
        <f t="shared" si="23"/>
        <v>9.2225347001723659</v>
      </c>
      <c r="O15" s="122">
        <v>0</v>
      </c>
      <c r="P15" s="129">
        <v>105</v>
      </c>
      <c r="Q15" s="132">
        <v>1</v>
      </c>
      <c r="R15" s="176">
        <f>L15*'Notes and Look Up'!$B$18/P15</f>
        <v>1.7333333333333332</v>
      </c>
      <c r="S15" s="130">
        <f t="shared" ref="S15:S16" si="31">P15*Q15</f>
        <v>105</v>
      </c>
      <c r="T15" s="162">
        <v>0.1</v>
      </c>
      <c r="U15" s="131">
        <f>T15*N15*1000</f>
        <v>922.25347001723662</v>
      </c>
      <c r="V15" s="131">
        <f>U15*P15</f>
        <v>96836.61435180984</v>
      </c>
      <c r="W15" s="131">
        <f>V15/'Notes and Look Up'!$A$24</f>
        <v>15493.858296289574</v>
      </c>
      <c r="X15" s="131">
        <v>0</v>
      </c>
      <c r="Y15" s="131">
        <f t="shared" ref="Y15:Y16" si="32">(X15*1000)*0.033</f>
        <v>0</v>
      </c>
      <c r="Z15" s="131">
        <f>Y15*O15</f>
        <v>0</v>
      </c>
      <c r="AA15" s="131">
        <f>Z15/'Notes and Look Up'!$A$24</f>
        <v>0</v>
      </c>
      <c r="AB15" s="134">
        <f>(AA15+W15)/1000</f>
        <v>15.493858296289574</v>
      </c>
      <c r="AC15" s="126">
        <v>26</v>
      </c>
      <c r="AD15" s="131">
        <f>AC15*(L15)</f>
        <v>2146.4211194774557</v>
      </c>
      <c r="AE15" s="126">
        <v>0</v>
      </c>
      <c r="AF15" s="121">
        <f t="shared" si="24"/>
        <v>2.1464211194774556</v>
      </c>
      <c r="AG15" s="163">
        <f>AF15/AB15</f>
        <v>0.13853367433930092</v>
      </c>
      <c r="AH15" s="177">
        <f t="shared" si="25"/>
        <v>0.86146632566069914</v>
      </c>
      <c r="AI15" s="131">
        <f t="shared" si="26"/>
        <v>13.34743717681212</v>
      </c>
      <c r="AJ15" s="121">
        <f t="shared" si="27"/>
        <v>0.31701960784313726</v>
      </c>
      <c r="AK15" s="131">
        <f>AI15*Q15</f>
        <v>13.34743717681212</v>
      </c>
      <c r="AL15" s="131">
        <f>AK15*E15</f>
        <v>0</v>
      </c>
      <c r="AM15" s="133">
        <f>AL15*(1-D15)</f>
        <v>0</v>
      </c>
      <c r="AN15" s="142">
        <f>AM15*'Notes and Look Up'!$B$18</f>
        <v>0</v>
      </c>
      <c r="AO15" s="178">
        <v>1.9E-3</v>
      </c>
      <c r="AP15" s="134">
        <f>(AO15*N15)*1000</f>
        <v>17.522815930327496</v>
      </c>
      <c r="AQ15" s="131">
        <f>AP15*P15</f>
        <v>1839.8956726843871</v>
      </c>
      <c r="AR15" s="122">
        <v>0</v>
      </c>
      <c r="AS15" s="122">
        <v>0</v>
      </c>
      <c r="AT15" s="122">
        <v>0</v>
      </c>
      <c r="AU15" s="134">
        <f t="shared" si="28"/>
        <v>1.8398956726843871</v>
      </c>
      <c r="AV15" s="122">
        <v>7.1</v>
      </c>
      <c r="AW15" s="131">
        <f>AV15*L15</f>
        <v>586.13807493422826</v>
      </c>
      <c r="AX15" s="122">
        <v>0</v>
      </c>
      <c r="AY15" s="121">
        <f t="shared" si="29"/>
        <v>0.5861380749342282</v>
      </c>
      <c r="AZ15" s="163">
        <f>AY15/AU15</f>
        <v>0.31857136447256235</v>
      </c>
      <c r="BA15" s="177">
        <f>1-AZ15</f>
        <v>0.68142863552743771</v>
      </c>
      <c r="BB15" s="164">
        <f>BA15*(AU15/P15)</f>
        <v>1.1940548550001515E-2</v>
      </c>
      <c r="BC15" s="121">
        <f>((BB15*'Notes and Look Up'!$B$21)/K15)*1000</f>
        <v>6.8192607843137271E-2</v>
      </c>
      <c r="BD15" s="121">
        <f>BA15*AU15*'Notes and Look Up'!$B$21</f>
        <v>2.8711048988478645</v>
      </c>
      <c r="BE15" s="121">
        <f>BD15*Q15</f>
        <v>2.8711048988478645</v>
      </c>
      <c r="BF15" s="134">
        <f>BE15*E15</f>
        <v>0</v>
      </c>
      <c r="BG15" s="147">
        <f>BF15*'Notes and Look Up'!$B$18</f>
        <v>0</v>
      </c>
    </row>
    <row r="16" spans="1:65" ht="15" customHeight="1" x14ac:dyDescent="0.3">
      <c r="A16" s="149" t="s">
        <v>18</v>
      </c>
      <c r="B16" s="149" t="s">
        <v>222</v>
      </c>
      <c r="C16" s="360" t="s">
        <v>28</v>
      </c>
      <c r="D16" s="284">
        <f>VLOOKUP(C16,'Notes and Look Up'!$A$1:$B$11,2,0)</f>
        <v>0.4</v>
      </c>
      <c r="E16" s="153"/>
      <c r="F16" s="153">
        <v>500</v>
      </c>
      <c r="G16" s="153">
        <v>793</v>
      </c>
      <c r="H16" s="155">
        <f t="shared" si="17"/>
        <v>646.5</v>
      </c>
      <c r="I16" s="167">
        <f>F16/'Notes and Look Up'!$B$18</f>
        <v>226.79851220175993</v>
      </c>
      <c r="J16" s="167">
        <f>G16/'Notes and Look Up'!$B$18</f>
        <v>359.7024403519913</v>
      </c>
      <c r="K16" s="167">
        <f t="shared" si="30"/>
        <v>293.25047627687559</v>
      </c>
      <c r="L16" s="167">
        <f t="shared" si="18"/>
        <v>132.90392815023137</v>
      </c>
      <c r="M16" s="185">
        <v>2.7E-2</v>
      </c>
      <c r="N16" s="186">
        <f t="shared" si="23"/>
        <v>7.9177628594756406</v>
      </c>
      <c r="O16" s="136">
        <v>0</v>
      </c>
      <c r="P16" s="153">
        <v>180</v>
      </c>
      <c r="Q16" s="187">
        <v>1</v>
      </c>
      <c r="R16" s="295">
        <f>L16*'Notes and Look Up'!$B$18/P16</f>
        <v>1.627777777777778</v>
      </c>
      <c r="S16" s="166">
        <f t="shared" si="31"/>
        <v>180</v>
      </c>
      <c r="T16" s="188">
        <v>0.11</v>
      </c>
      <c r="U16" s="167">
        <f>T16*N16*1000</f>
        <v>870.95391454232049</v>
      </c>
      <c r="V16" s="167">
        <f>U16*P16</f>
        <v>156771.70461761768</v>
      </c>
      <c r="W16" s="167">
        <f>V16/'Notes and Look Up'!$A$24</f>
        <v>25083.472738818829</v>
      </c>
      <c r="X16" s="167">
        <v>0</v>
      </c>
      <c r="Y16" s="167">
        <f t="shared" si="32"/>
        <v>0</v>
      </c>
      <c r="Z16" s="167">
        <f>Y16*O16</f>
        <v>0</v>
      </c>
      <c r="AA16" s="167">
        <f>Z16/'Notes and Look Up'!$A$24</f>
        <v>0</v>
      </c>
      <c r="AB16" s="186">
        <f>(AA16+W16)/1000</f>
        <v>25.083472738818831</v>
      </c>
      <c r="AC16" s="135">
        <v>26</v>
      </c>
      <c r="AD16" s="167">
        <f>AC16*(L16)</f>
        <v>3455.5021319060156</v>
      </c>
      <c r="AE16" s="135">
        <v>0</v>
      </c>
      <c r="AF16" s="189">
        <f t="shared" si="24"/>
        <v>3.4555021319060155</v>
      </c>
      <c r="AG16" s="190">
        <f>AF16/AB16</f>
        <v>0.13776011670658062</v>
      </c>
      <c r="AH16" s="168">
        <f t="shared" si="25"/>
        <v>0.86223988329341938</v>
      </c>
      <c r="AI16" s="167">
        <f t="shared" si="26"/>
        <v>21.627970606912815</v>
      </c>
      <c r="AJ16" s="189">
        <f t="shared" si="27"/>
        <v>0.40973639254103289</v>
      </c>
      <c r="AK16" s="167">
        <f>AI16*Q16</f>
        <v>21.627970606912815</v>
      </c>
      <c r="AL16" s="167">
        <f>AK16*E16</f>
        <v>0</v>
      </c>
      <c r="AM16" s="191">
        <f>AL16*(1-D16)</f>
        <v>0</v>
      </c>
      <c r="AN16" s="155">
        <f>AM16*'Notes and Look Up'!$B$18</f>
        <v>0</v>
      </c>
      <c r="AO16" s="192">
        <v>2.5000000000000001E-3</v>
      </c>
      <c r="AP16" s="186">
        <f>(AO16*N16)*1000</f>
        <v>19.794407148689103</v>
      </c>
      <c r="AQ16" s="167">
        <f>AP16*P16</f>
        <v>3562.9932867640387</v>
      </c>
      <c r="AR16" s="136">
        <v>0</v>
      </c>
      <c r="AS16" s="136">
        <v>0</v>
      </c>
      <c r="AT16" s="136">
        <v>0</v>
      </c>
      <c r="AU16" s="186">
        <f t="shared" si="28"/>
        <v>3.5629932867640388</v>
      </c>
      <c r="AV16" s="136">
        <v>7.1</v>
      </c>
      <c r="AW16" s="167">
        <f>AV16*L16</f>
        <v>943.6178898666426</v>
      </c>
      <c r="AX16" s="136">
        <v>0</v>
      </c>
      <c r="AY16" s="189">
        <f t="shared" si="29"/>
        <v>0.94361788986664263</v>
      </c>
      <c r="AZ16" s="190">
        <f>AY16/AU16</f>
        <v>0.264838525902374</v>
      </c>
      <c r="BA16" s="168">
        <f>1-AZ16</f>
        <v>0.735161474097626</v>
      </c>
      <c r="BB16" s="193">
        <f>BA16*(AU16/P16)</f>
        <v>1.455208553831887E-2</v>
      </c>
      <c r="BC16" s="189">
        <f>((BB16*'Notes and Look Up'!$B$21)/K16)*1000</f>
        <v>0.11363758485864058</v>
      </c>
      <c r="BD16" s="189">
        <f>BA16*AU16*'Notes and Look Up'!$B$21</f>
        <v>5.9983696588950375</v>
      </c>
      <c r="BE16" s="189">
        <f>BD16*Q16</f>
        <v>5.9983696588950375</v>
      </c>
      <c r="BF16" s="186">
        <f>BE16*E16</f>
        <v>0</v>
      </c>
      <c r="BG16" s="169">
        <f>BF16*'Notes and Look Up'!$B$18</f>
        <v>0</v>
      </c>
    </row>
    <row r="17" spans="1:57" ht="15" customHeight="1" x14ac:dyDescent="0.3"/>
    <row r="18" spans="1:57" ht="15" customHeight="1" x14ac:dyDescent="0.3">
      <c r="A18" s="3" t="s">
        <v>223</v>
      </c>
      <c r="AK18" s="264">
        <f>SUM(AL5:AL9)/100</f>
        <v>0</v>
      </c>
      <c r="BE18" s="55">
        <f>SUM(BF5:BF9)/100</f>
        <v>0</v>
      </c>
    </row>
  </sheetData>
  <sheetProtection password="DD31" sheet="1" objects="1" scenarios="1"/>
  <protectedRanges>
    <protectedRange sqref="B2" name="Operation Name"/>
    <protectedRange sqref="E5:E16" name="Animal Numbers"/>
    <protectedRange sqref="Q5:Q16" name="Cycles per Year"/>
    <protectedRange sqref="P5:P16" name="Days per Cycle"/>
    <protectedRange sqref="C5:C16" name="Storage Type"/>
    <protectedRange sqref="G5:G16" name="Weight Out"/>
    <protectedRange sqref="F5:F16" name="Weight In"/>
  </protectedRanges>
  <dataValidations disablePrompts="1" count="1">
    <dataValidation type="list" allowBlank="1" showInputMessage="1" showErrorMessage="1" sqref="C5:C9 C11 C13" xr:uid="{00000000-0002-0000-0200-000000000000}">
      <formula1>Storages</formula1>
    </dataValidation>
  </dataValidations>
  <pageMargins left="0.70866141732283472" right="0.70866141732283472" top="0.74803149606299213" bottom="0.74803149606299213" header="0.31496062992125984" footer="0.31496062992125984"/>
  <pageSetup orientation="landscape" r:id="rId1"/>
  <ignoredErrors>
    <ignoredError sqref="H5:H16" formulaRange="1"/>
  </ignoredError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1000000}">
          <x14:formula1>
            <xm:f>'Notes and Look Up'!$A$2:$A$11</xm:f>
          </x14:formula1>
          <xm:sqref>C10 C14:C16 C12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G14"/>
  <sheetViews>
    <sheetView zoomScaleNormal="100" workbookViewId="0">
      <pane xSplit="1" topLeftCell="B1" activePane="topRight" state="frozenSplit"/>
      <selection activeCell="H23" sqref="H23"/>
      <selection pane="topRight" activeCell="B12" sqref="B12"/>
    </sheetView>
  </sheetViews>
  <sheetFormatPr defaultColWidth="9.15234375" defaultRowHeight="12.45" x14ac:dyDescent="0.3"/>
  <cols>
    <col min="1" max="1" width="34.53515625" style="306" bestFit="1" customWidth="1"/>
    <col min="2" max="2" width="32.15234375" style="306" customWidth="1"/>
    <col min="3" max="3" width="13.15234375" style="7" bestFit="1" customWidth="1"/>
    <col min="4" max="4" width="10.3046875" style="306" customWidth="1"/>
    <col min="5" max="5" width="14.53515625" style="306" hidden="1" customWidth="1"/>
    <col min="6" max="6" width="11.15234375" style="306" hidden="1" customWidth="1"/>
    <col min="7" max="7" width="11.53515625" style="306" hidden="1" customWidth="1"/>
    <col min="8" max="8" width="8.3828125" style="306" hidden="1" customWidth="1"/>
    <col min="9" max="9" width="9.15234375" style="306" hidden="1" customWidth="1"/>
    <col min="10" max="10" width="10.69140625" style="306" hidden="1" customWidth="1"/>
    <col min="11" max="12" width="9.84375" style="306" hidden="1" customWidth="1"/>
    <col min="13" max="13" width="14.15234375" style="306" hidden="1" customWidth="1"/>
    <col min="14" max="14" width="10.69140625" style="306" hidden="1" customWidth="1"/>
    <col min="15" max="15" width="11" style="306" hidden="1" customWidth="1"/>
    <col min="16" max="16" width="8.69140625" style="306" hidden="1" customWidth="1"/>
    <col min="17" max="17" width="9" style="306" hidden="1" customWidth="1"/>
    <col min="18" max="18" width="9.3046875" style="306" hidden="1" customWidth="1"/>
    <col min="19" max="19" width="16.84375" style="306" hidden="1" customWidth="1"/>
    <col min="20" max="20" width="8.84375" style="306" hidden="1" customWidth="1"/>
    <col min="21" max="21" width="12.69140625" style="306" hidden="1" customWidth="1"/>
    <col min="22" max="22" width="9.69140625" style="306" hidden="1" customWidth="1"/>
    <col min="23" max="23" width="12" style="306" hidden="1" customWidth="1"/>
    <col min="24" max="24" width="10.84375" style="306" hidden="1" customWidth="1"/>
    <col min="25" max="25" width="11.53515625" style="306" hidden="1" customWidth="1"/>
    <col min="26" max="26" width="12" style="306" hidden="1" customWidth="1"/>
    <col min="27" max="27" width="11" style="306" hidden="1" customWidth="1"/>
    <col min="28" max="28" width="13" style="306" hidden="1" customWidth="1"/>
    <col min="29" max="29" width="12.3046875" style="311" hidden="1" customWidth="1"/>
    <col min="30" max="30" width="9.15234375" style="306" hidden="1" customWidth="1"/>
    <col min="31" max="31" width="13.69140625" style="306" hidden="1" customWidth="1"/>
    <col min="32" max="32" width="12.3828125" style="306" hidden="1" customWidth="1"/>
    <col min="33" max="33" width="11" style="306" hidden="1" customWidth="1"/>
    <col min="34" max="34" width="12.3828125" style="306" hidden="1" customWidth="1"/>
    <col min="35" max="35" width="11.3828125" style="306" hidden="1" customWidth="1"/>
    <col min="36" max="36" width="12.15234375" style="306" hidden="1" customWidth="1"/>
    <col min="37" max="37" width="9.15234375" style="306" hidden="1" customWidth="1"/>
    <col min="38" max="38" width="11" style="306" hidden="1" customWidth="1"/>
    <col min="39" max="39" width="12.84375" style="306" customWidth="1"/>
    <col min="40" max="40" width="12.3046875" style="306" hidden="1" customWidth="1"/>
    <col min="41" max="41" width="12" style="306" hidden="1" customWidth="1"/>
    <col min="42" max="42" width="11.3828125" style="306" hidden="1" customWidth="1"/>
    <col min="43" max="43" width="11.53515625" style="306" hidden="1" customWidth="1"/>
    <col min="44" max="44" width="12.53515625" style="306" hidden="1" customWidth="1"/>
    <col min="45" max="45" width="11.3828125" style="306" hidden="1" customWidth="1"/>
    <col min="46" max="46" width="9.15234375" style="306" hidden="1" customWidth="1"/>
    <col min="47" max="47" width="10.84375" style="306" hidden="1" customWidth="1"/>
    <col min="48" max="48" width="11.3828125" style="306" hidden="1" customWidth="1"/>
    <col min="49" max="50" width="12" style="306" hidden="1" customWidth="1"/>
    <col min="51" max="51" width="11.69140625" style="306" hidden="1" customWidth="1"/>
    <col min="52" max="52" width="10.69140625" style="306" hidden="1" customWidth="1"/>
    <col min="53" max="53" width="10.84375" style="306" hidden="1" customWidth="1"/>
    <col min="54" max="54" width="10.69140625" style="306" hidden="1" customWidth="1"/>
    <col min="55" max="55" width="21.15234375" style="306" hidden="1" customWidth="1"/>
    <col min="56" max="56" width="14.69140625" style="306" hidden="1" customWidth="1"/>
    <col min="57" max="57" width="12.53515625" style="306" hidden="1" customWidth="1"/>
    <col min="58" max="58" width="11.69140625" style="306" hidden="1" customWidth="1"/>
    <col min="59" max="59" width="13.3046875" style="306" customWidth="1"/>
    <col min="60" max="16384" width="9.15234375" style="306"/>
  </cols>
  <sheetData>
    <row r="1" spans="1:59" ht="12.9" thickBot="1" x14ac:dyDescent="0.35">
      <c r="A1" s="308" t="s">
        <v>305</v>
      </c>
      <c r="B1" s="309"/>
      <c r="C1" s="237"/>
      <c r="D1" s="309"/>
      <c r="E1" s="307"/>
      <c r="F1" s="307"/>
      <c r="G1" s="307"/>
      <c r="H1" s="307"/>
      <c r="I1" s="307"/>
      <c r="J1" s="307"/>
      <c r="K1" s="307"/>
      <c r="L1" s="307"/>
      <c r="M1" s="307"/>
      <c r="N1" s="307"/>
      <c r="O1" s="307"/>
      <c r="P1" s="307"/>
      <c r="Q1" s="307"/>
      <c r="R1" s="307"/>
      <c r="S1" s="307"/>
      <c r="T1" s="309"/>
      <c r="U1" s="307"/>
      <c r="V1" s="307"/>
      <c r="W1" s="307"/>
      <c r="X1" s="307"/>
      <c r="Y1" s="307"/>
      <c r="Z1" s="307"/>
      <c r="AA1" s="307"/>
      <c r="AB1" s="307"/>
      <c r="AC1" s="310"/>
      <c r="AD1" s="307"/>
      <c r="AE1" s="307"/>
      <c r="AF1" s="307"/>
      <c r="AG1" s="307"/>
      <c r="AH1" s="307"/>
      <c r="AI1" s="307"/>
      <c r="AJ1" s="307"/>
      <c r="AK1" s="307"/>
      <c r="AL1" s="307"/>
      <c r="AM1" s="309"/>
      <c r="AN1" s="309"/>
      <c r="AO1" s="309"/>
      <c r="AP1" s="309"/>
      <c r="AQ1" s="309"/>
      <c r="AR1" s="309"/>
      <c r="AS1" s="309"/>
      <c r="AT1" s="309"/>
      <c r="AU1" s="309"/>
      <c r="AV1" s="309"/>
      <c r="AW1" s="309"/>
      <c r="AX1" s="309"/>
      <c r="AY1" s="309"/>
      <c r="AZ1" s="309"/>
      <c r="BA1" s="309"/>
      <c r="BB1" s="309"/>
      <c r="BC1" s="309"/>
      <c r="BD1" s="309"/>
      <c r="BE1" s="309"/>
      <c r="BF1" s="309"/>
      <c r="BG1" s="309"/>
    </row>
    <row r="2" spans="1:59" ht="12.9" thickBot="1" x14ac:dyDescent="0.35">
      <c r="A2" s="308" t="s">
        <v>304</v>
      </c>
      <c r="B2" s="376"/>
      <c r="C2" s="237"/>
      <c r="D2" s="309"/>
      <c r="E2" s="307"/>
      <c r="F2" s="307"/>
      <c r="G2" s="307"/>
      <c r="H2" s="307"/>
      <c r="I2" s="307"/>
      <c r="J2" s="307"/>
      <c r="K2" s="307"/>
      <c r="L2" s="307"/>
      <c r="M2" s="307"/>
      <c r="N2" s="307"/>
      <c r="O2" s="307"/>
      <c r="P2" s="307"/>
      <c r="Q2" s="307"/>
      <c r="R2" s="307"/>
      <c r="S2" s="307"/>
      <c r="T2" s="309"/>
      <c r="U2" s="307"/>
      <c r="V2" s="307"/>
      <c r="W2" s="307"/>
      <c r="X2" s="307"/>
      <c r="Y2" s="307"/>
      <c r="Z2" s="307"/>
      <c r="AA2" s="307"/>
      <c r="AB2" s="307"/>
      <c r="AC2" s="310"/>
      <c r="AD2" s="307"/>
      <c r="AE2" s="307"/>
      <c r="AF2" s="307"/>
      <c r="AG2" s="307"/>
      <c r="AH2" s="307"/>
      <c r="AI2" s="307"/>
      <c r="AJ2" s="307"/>
      <c r="AK2" s="307"/>
      <c r="AL2" s="307"/>
      <c r="AM2" s="309"/>
      <c r="AN2" s="309"/>
      <c r="AO2" s="309"/>
      <c r="AP2" s="309"/>
      <c r="AQ2" s="309"/>
      <c r="AR2" s="309"/>
      <c r="AS2" s="309"/>
      <c r="AT2" s="309"/>
      <c r="AU2" s="309"/>
      <c r="AV2" s="309"/>
      <c r="AW2" s="309"/>
      <c r="AX2" s="309"/>
      <c r="AY2" s="309"/>
      <c r="AZ2" s="309"/>
      <c r="BA2" s="309"/>
      <c r="BB2" s="309"/>
      <c r="BC2" s="309"/>
      <c r="BD2" s="309"/>
      <c r="BE2" s="309"/>
      <c r="BF2" s="309"/>
      <c r="BG2" s="309"/>
    </row>
    <row r="3" spans="1:59" ht="78" customHeight="1" x14ac:dyDescent="0.3">
      <c r="A3" s="21" t="s">
        <v>1</v>
      </c>
      <c r="B3" s="298" t="s">
        <v>9</v>
      </c>
      <c r="C3" s="20" t="s">
        <v>145</v>
      </c>
      <c r="D3" s="19" t="s">
        <v>8</v>
      </c>
      <c r="E3" s="21" t="s">
        <v>325</v>
      </c>
      <c r="F3" s="21" t="s">
        <v>60</v>
      </c>
      <c r="G3" s="21" t="s">
        <v>61</v>
      </c>
      <c r="H3" s="33" t="s">
        <v>57</v>
      </c>
      <c r="I3" s="33" t="s">
        <v>60</v>
      </c>
      <c r="J3" s="33" t="s">
        <v>61</v>
      </c>
      <c r="K3" s="33" t="s">
        <v>57</v>
      </c>
      <c r="L3" s="33" t="s">
        <v>326</v>
      </c>
      <c r="M3" s="33" t="s">
        <v>327</v>
      </c>
      <c r="N3" s="33" t="s">
        <v>328</v>
      </c>
      <c r="O3" s="33" t="s">
        <v>180</v>
      </c>
      <c r="P3" s="33" t="s">
        <v>78</v>
      </c>
      <c r="Q3" s="33" t="s">
        <v>151</v>
      </c>
      <c r="R3" s="33" t="s">
        <v>181</v>
      </c>
      <c r="S3" s="33" t="s">
        <v>182</v>
      </c>
      <c r="T3" s="21" t="s">
        <v>329</v>
      </c>
      <c r="U3" s="34" t="s">
        <v>183</v>
      </c>
      <c r="V3" s="34" t="s">
        <v>184</v>
      </c>
      <c r="W3" s="34" t="s">
        <v>185</v>
      </c>
      <c r="X3" s="34" t="s">
        <v>330</v>
      </c>
      <c r="Y3" s="21" t="s">
        <v>331</v>
      </c>
      <c r="Z3" s="33" t="s">
        <v>332</v>
      </c>
      <c r="AA3" s="33" t="s">
        <v>228</v>
      </c>
      <c r="AB3" s="33" t="s">
        <v>435</v>
      </c>
      <c r="AC3" s="33" t="s">
        <v>434</v>
      </c>
      <c r="AD3" s="33" t="s">
        <v>436</v>
      </c>
      <c r="AE3" s="33" t="s">
        <v>333</v>
      </c>
      <c r="AF3" s="33" t="s">
        <v>267</v>
      </c>
      <c r="AG3" s="207" t="s">
        <v>196</v>
      </c>
      <c r="AH3" s="34" t="s">
        <v>58</v>
      </c>
      <c r="AI3" s="33" t="s">
        <v>63</v>
      </c>
      <c r="AJ3" s="33" t="s">
        <v>59</v>
      </c>
      <c r="AK3" s="34" t="s">
        <v>51</v>
      </c>
      <c r="AL3" s="33" t="s">
        <v>46</v>
      </c>
      <c r="AM3" s="20" t="s">
        <v>46</v>
      </c>
      <c r="AN3" s="33" t="s">
        <v>144</v>
      </c>
      <c r="AO3" s="34" t="s">
        <v>334</v>
      </c>
      <c r="AP3" s="34" t="s">
        <v>335</v>
      </c>
      <c r="AQ3" s="34" t="s">
        <v>336</v>
      </c>
      <c r="AR3" s="21" t="s">
        <v>201</v>
      </c>
      <c r="AS3" s="33" t="s">
        <v>433</v>
      </c>
      <c r="AT3" s="33" t="s">
        <v>337</v>
      </c>
      <c r="AU3" s="33" t="s">
        <v>338</v>
      </c>
      <c r="AV3" s="33" t="s">
        <v>254</v>
      </c>
      <c r="AW3" s="33" t="s">
        <v>437</v>
      </c>
      <c r="AX3" s="33" t="s">
        <v>438</v>
      </c>
      <c r="AY3" s="33" t="s">
        <v>339</v>
      </c>
      <c r="AZ3" s="33" t="s">
        <v>205</v>
      </c>
      <c r="BA3" s="207" t="s">
        <v>206</v>
      </c>
      <c r="BB3" s="34" t="s">
        <v>143</v>
      </c>
      <c r="BC3" s="33" t="s">
        <v>64</v>
      </c>
      <c r="BD3" s="33" t="s">
        <v>66</v>
      </c>
      <c r="BE3" s="33" t="s">
        <v>67</v>
      </c>
      <c r="BF3" s="34" t="s">
        <v>68</v>
      </c>
      <c r="BG3" s="22" t="s">
        <v>68</v>
      </c>
    </row>
    <row r="4" spans="1:59" ht="13.95" customHeight="1" x14ac:dyDescent="0.3">
      <c r="A4" s="209"/>
      <c r="B4" s="210"/>
      <c r="C4" s="211"/>
      <c r="D4" s="210"/>
      <c r="E4" s="305" t="s">
        <v>55</v>
      </c>
      <c r="F4" s="209" t="s">
        <v>147</v>
      </c>
      <c r="G4" s="209" t="s">
        <v>147</v>
      </c>
      <c r="H4" s="214" t="s">
        <v>147</v>
      </c>
      <c r="I4" s="213" t="s">
        <v>48</v>
      </c>
      <c r="J4" s="213" t="s">
        <v>48</v>
      </c>
      <c r="K4" s="214" t="s">
        <v>48</v>
      </c>
      <c r="L4" s="213" t="s">
        <v>48</v>
      </c>
      <c r="M4" s="214" t="s">
        <v>49</v>
      </c>
      <c r="N4" s="213" t="s">
        <v>55</v>
      </c>
      <c r="O4" s="214" t="s">
        <v>43</v>
      </c>
      <c r="P4" s="214" t="s">
        <v>43</v>
      </c>
      <c r="Q4" s="217"/>
      <c r="R4" s="214" t="s">
        <v>207</v>
      </c>
      <c r="S4" s="214" t="s">
        <v>44</v>
      </c>
      <c r="T4" s="236" t="s">
        <v>31</v>
      </c>
      <c r="U4" s="214" t="s">
        <v>208</v>
      </c>
      <c r="V4" s="214" t="s">
        <v>209</v>
      </c>
      <c r="W4" s="214" t="s">
        <v>209</v>
      </c>
      <c r="X4" s="214" t="s">
        <v>53</v>
      </c>
      <c r="Y4" s="305" t="s">
        <v>210</v>
      </c>
      <c r="Z4" s="218" t="s">
        <v>209</v>
      </c>
      <c r="AA4" s="218" t="s">
        <v>340</v>
      </c>
      <c r="AB4" s="218" t="s">
        <v>208</v>
      </c>
      <c r="AC4" s="218" t="s">
        <v>208</v>
      </c>
      <c r="AD4" s="218" t="s">
        <v>209</v>
      </c>
      <c r="AE4" s="218" t="s">
        <v>53</v>
      </c>
      <c r="AF4" s="214" t="s">
        <v>31</v>
      </c>
      <c r="AG4" s="214" t="s">
        <v>31</v>
      </c>
      <c r="AH4" s="214" t="s">
        <v>53</v>
      </c>
      <c r="AI4" s="213" t="s">
        <v>211</v>
      </c>
      <c r="AJ4" s="214" t="s">
        <v>50</v>
      </c>
      <c r="AK4" s="213" t="s">
        <v>45</v>
      </c>
      <c r="AL4" s="213" t="s">
        <v>45</v>
      </c>
      <c r="AM4" s="211" t="s">
        <v>212</v>
      </c>
      <c r="AN4" s="214" t="s">
        <v>31</v>
      </c>
      <c r="AO4" s="214" t="s">
        <v>208</v>
      </c>
      <c r="AP4" s="214" t="s">
        <v>209</v>
      </c>
      <c r="AQ4" s="214" t="s">
        <v>53</v>
      </c>
      <c r="AR4" s="236" t="s">
        <v>210</v>
      </c>
      <c r="AS4" s="214" t="s">
        <v>209</v>
      </c>
      <c r="AT4" s="218" t="s">
        <v>340</v>
      </c>
      <c r="AU4" s="218" t="s">
        <v>55</v>
      </c>
      <c r="AV4" s="218" t="s">
        <v>340</v>
      </c>
      <c r="AW4" s="218" t="s">
        <v>208</v>
      </c>
      <c r="AX4" s="218" t="s">
        <v>209</v>
      </c>
      <c r="AY4" s="214" t="s">
        <v>53</v>
      </c>
      <c r="AZ4" s="214" t="s">
        <v>31</v>
      </c>
      <c r="BA4" s="214" t="s">
        <v>31</v>
      </c>
      <c r="BB4" s="214" t="s">
        <v>55</v>
      </c>
      <c r="BC4" s="214" t="s">
        <v>65</v>
      </c>
      <c r="BD4" s="214" t="s">
        <v>69</v>
      </c>
      <c r="BE4" s="214" t="s">
        <v>70</v>
      </c>
      <c r="BF4" s="214" t="s">
        <v>70</v>
      </c>
      <c r="BG4" s="219" t="s">
        <v>213</v>
      </c>
    </row>
    <row r="5" spans="1:59" hidden="1" x14ac:dyDescent="0.3">
      <c r="A5" s="314" t="s">
        <v>341</v>
      </c>
      <c r="B5" s="159" t="s">
        <v>12</v>
      </c>
      <c r="C5" s="315">
        <f>VLOOKUP(B5,'Notes and Look Up'!$A$2:$B$11,2,0)</f>
        <v>0.3</v>
      </c>
      <c r="D5" s="129"/>
      <c r="E5" s="141">
        <v>31</v>
      </c>
      <c r="F5" s="140">
        <v>1475</v>
      </c>
      <c r="G5" s="140">
        <v>1440</v>
      </c>
      <c r="H5" s="131">
        <f>AVERAGE(F5:G5)</f>
        <v>1457.5</v>
      </c>
      <c r="I5" s="131">
        <f>F5/'Notes and Look Up'!$B$18</f>
        <v>669.05561099519184</v>
      </c>
      <c r="J5" s="131">
        <f>G5/'Notes and Look Up'!$B$18</f>
        <v>653.17971514106864</v>
      </c>
      <c r="K5" s="131">
        <f>H5/'Notes and Look Up'!$B$18</f>
        <v>661.11766306813024</v>
      </c>
      <c r="L5" s="131">
        <f>J5-I5</f>
        <v>-15.8758958541232</v>
      </c>
      <c r="M5" s="162">
        <v>3.6499999999999998E-2</v>
      </c>
      <c r="N5" s="121">
        <f>K5*M5</f>
        <v>24.130794701986751</v>
      </c>
      <c r="O5" s="122">
        <v>0</v>
      </c>
      <c r="P5" s="122">
        <v>348</v>
      </c>
      <c r="Q5" s="316">
        <f>365/P5</f>
        <v>1.0488505747126438</v>
      </c>
      <c r="R5" s="121">
        <f>L5*'Notes and Look Up'!$B$18/P5</f>
        <v>-0.10057471264367818</v>
      </c>
      <c r="S5" s="131">
        <f>P5*Q5</f>
        <v>365</v>
      </c>
      <c r="T5" s="317">
        <v>0.183</v>
      </c>
      <c r="U5" s="131">
        <f t="shared" ref="U5:U10" si="0">T5*N5*1000</f>
        <v>4415.9354304635754</v>
      </c>
      <c r="V5" s="131">
        <f t="shared" ref="V5:V10" si="1">U5*P5</f>
        <v>1536745.5298013242</v>
      </c>
      <c r="W5" s="131">
        <f>V5/'Notes and Look Up'!$A$24</f>
        <v>245879.28476821189</v>
      </c>
      <c r="X5" s="134">
        <f>W5/1000</f>
        <v>245.87928476821187</v>
      </c>
      <c r="Y5" s="359">
        <v>27</v>
      </c>
      <c r="Z5" s="131">
        <f t="shared" ref="Z5:Z10" si="2">Y5*(L5)</f>
        <v>-428.64918806132641</v>
      </c>
      <c r="AA5" s="318">
        <v>3.3000000000000002E-2</v>
      </c>
      <c r="AB5" s="121">
        <f>E5*AA5*1000</f>
        <v>1023.0000000000001</v>
      </c>
      <c r="AC5" s="134">
        <f>AB5/'Notes and Look Up'!$A$24</f>
        <v>163.68</v>
      </c>
      <c r="AD5" s="125">
        <f>AC5*P5</f>
        <v>56960.639999999999</v>
      </c>
      <c r="AE5" s="121">
        <f t="shared" ref="AE5:AE10" si="3">(Z5+AD5)/1000</f>
        <v>56.531990811938677</v>
      </c>
      <c r="AF5" s="163">
        <f t="shared" ref="AF5:AF10" si="4">AE5/X5</f>
        <v>0.22991766413031037</v>
      </c>
      <c r="AG5" s="177">
        <f t="shared" ref="AG5:AG10" si="5">1-AF5</f>
        <v>0.77008233586968966</v>
      </c>
      <c r="AH5" s="131">
        <f t="shared" ref="AH5:AH10" si="6">AG5*X5</f>
        <v>189.34729395627321</v>
      </c>
      <c r="AI5" s="121">
        <f t="shared" ref="AI5:AI10" si="7">AH5/P5/K5*1000</f>
        <v>0.82300239399065456</v>
      </c>
      <c r="AJ5" s="131">
        <f t="shared" ref="AJ5:AJ10" si="8">AH5*Q5</f>
        <v>198.59701808632104</v>
      </c>
      <c r="AK5" s="131">
        <f t="shared" ref="AK5:AK10" si="9">AJ5*D5</f>
        <v>0</v>
      </c>
      <c r="AL5" s="133">
        <f t="shared" ref="AL5:AL10" si="10">AK5*(1-C5)</f>
        <v>0</v>
      </c>
      <c r="AM5" s="319">
        <f>AL5*'Notes and Look Up'!$B$18</f>
        <v>0</v>
      </c>
      <c r="AN5" s="178">
        <v>4.7999999999999996E-3</v>
      </c>
      <c r="AO5" s="134">
        <f t="shared" ref="AO5:AO10" si="11">(AN5*N5)*1000</f>
        <v>115.82781456953639</v>
      </c>
      <c r="AP5" s="131">
        <f t="shared" ref="AP5:AP10" si="12">AO5*P5</f>
        <v>40308.07947019866</v>
      </c>
      <c r="AQ5" s="134">
        <f>(AP5)/1000</f>
        <v>40.308079470198656</v>
      </c>
      <c r="AR5" s="140">
        <v>8.3000000000000007</v>
      </c>
      <c r="AS5" s="131">
        <f t="shared" ref="AS5:AS10" si="13">AR5*L5</f>
        <v>-131.76993558922257</v>
      </c>
      <c r="AT5" s="162">
        <v>0.125</v>
      </c>
      <c r="AU5" s="316"/>
      <c r="AV5" s="178">
        <v>8.9999999999999998E-4</v>
      </c>
      <c r="AW5" s="316">
        <f>E5*AV5*1000</f>
        <v>27.9</v>
      </c>
      <c r="AX5" s="125">
        <f>AW5*P5</f>
        <v>9709.1999999999989</v>
      </c>
      <c r="AY5" s="121">
        <f t="shared" ref="AY5:AY10" si="14">(AS5+AX5)/1000</f>
        <v>9.5774300644107768</v>
      </c>
      <c r="AZ5" s="163">
        <f t="shared" ref="AZ5:AZ10" si="15">AY5/AQ5</f>
        <v>0.2376057155363045</v>
      </c>
      <c r="BA5" s="177">
        <f t="shared" ref="BA5:BA10" si="16">1-AZ5</f>
        <v>0.7623942844636955</v>
      </c>
      <c r="BB5" s="164">
        <f t="shared" ref="BB5:BB10" si="17">BA5*(AQ5/P5)</f>
        <v>8.8306463809735281E-2</v>
      </c>
      <c r="BC5" s="121">
        <f>((BB5*'Notes and Look Up'!$B$21)/K5)*1000</f>
        <v>0.30587868608111018</v>
      </c>
      <c r="BD5" s="121">
        <f>BA5*AQ5*'Notes and Look Up'!$B$21</f>
        <v>70.373187139254242</v>
      </c>
      <c r="BE5" s="121">
        <f t="shared" ref="BE5:BE10" si="18">BD5*Q5</f>
        <v>73.810957775367243</v>
      </c>
      <c r="BF5" s="134">
        <f t="shared" ref="BF5:BF10" si="19">BE5*D5</f>
        <v>0</v>
      </c>
      <c r="BG5" s="320">
        <f>BF5*'Notes and Look Up'!$B$18</f>
        <v>0</v>
      </c>
    </row>
    <row r="6" spans="1:59" hidden="1" x14ac:dyDescent="0.3">
      <c r="A6" s="314" t="s">
        <v>324</v>
      </c>
      <c r="B6" s="159" t="s">
        <v>12</v>
      </c>
      <c r="C6" s="315">
        <f>VLOOKUP(B6,'Notes and Look Up'!$A$2:$B$11,2,0)</f>
        <v>0.3</v>
      </c>
      <c r="D6" s="129"/>
      <c r="E6" s="141">
        <v>28</v>
      </c>
      <c r="F6" s="140">
        <v>1300</v>
      </c>
      <c r="G6" s="140">
        <v>1475</v>
      </c>
      <c r="H6" s="131">
        <f>AVERAGE(F6:G6)</f>
        <v>1387.5</v>
      </c>
      <c r="I6" s="131">
        <f>F6/'Notes and Look Up'!$B$18</f>
        <v>589.67613172457584</v>
      </c>
      <c r="J6" s="131">
        <f>G6/'Notes and Look Up'!$B$18</f>
        <v>669.05561099519184</v>
      </c>
      <c r="K6" s="131">
        <f>H6/'Notes and Look Up'!$B$18</f>
        <v>629.36587135988384</v>
      </c>
      <c r="L6" s="131">
        <f>(J6-I6)/2</f>
        <v>39.689739635308001</v>
      </c>
      <c r="M6" s="162">
        <v>3.5999999999999997E-2</v>
      </c>
      <c r="N6" s="121">
        <f>K6*M6</f>
        <v>22.657171368955815</v>
      </c>
      <c r="O6" s="122"/>
      <c r="P6" s="122">
        <v>348</v>
      </c>
      <c r="Q6" s="316">
        <f>365/P6</f>
        <v>1.0488505747126438</v>
      </c>
      <c r="R6" s="121">
        <f>L6*'Notes and Look Up'!$B$18/P6</f>
        <v>0.25143678160919547</v>
      </c>
      <c r="S6" s="131">
        <f>P6*Q6</f>
        <v>365</v>
      </c>
      <c r="T6" s="317">
        <v>0.183</v>
      </c>
      <c r="U6" s="131">
        <f t="shared" si="0"/>
        <v>4146.2623605189146</v>
      </c>
      <c r="V6" s="131">
        <f t="shared" si="1"/>
        <v>1442899.3014605823</v>
      </c>
      <c r="W6" s="131">
        <f>V6/'Notes and Look Up'!$A$24</f>
        <v>230863.88823369317</v>
      </c>
      <c r="X6" s="134">
        <f t="shared" ref="X6:X10" si="20">W6/1000</f>
        <v>230.86388823369316</v>
      </c>
      <c r="Y6" s="359">
        <v>27</v>
      </c>
      <c r="Z6" s="131">
        <f t="shared" si="2"/>
        <v>1071.6229701533161</v>
      </c>
      <c r="AA6" s="318">
        <v>3.3000000000000002E-2</v>
      </c>
      <c r="AB6" s="121">
        <f>E6*AA6*1000</f>
        <v>924</v>
      </c>
      <c r="AC6" s="134">
        <f>AB6/'Notes and Look Up'!$A$24</f>
        <v>147.84</v>
      </c>
      <c r="AD6" s="125">
        <f>AC6*P6</f>
        <v>51448.32</v>
      </c>
      <c r="AE6" s="121">
        <f t="shared" si="3"/>
        <v>52.519942970153316</v>
      </c>
      <c r="AF6" s="163">
        <f t="shared" si="4"/>
        <v>0.22749310588146091</v>
      </c>
      <c r="AG6" s="177">
        <f t="shared" si="5"/>
        <v>0.77250689411853912</v>
      </c>
      <c r="AH6" s="131">
        <f t="shared" si="6"/>
        <v>178.34394526353987</v>
      </c>
      <c r="AI6" s="121">
        <f t="shared" si="7"/>
        <v>0.81428406695246969</v>
      </c>
      <c r="AJ6" s="131">
        <f t="shared" si="8"/>
        <v>187.05614948618407</v>
      </c>
      <c r="AK6" s="131">
        <f t="shared" si="9"/>
        <v>0</v>
      </c>
      <c r="AL6" s="133">
        <f t="shared" si="10"/>
        <v>0</v>
      </c>
      <c r="AM6" s="319">
        <f>AL6*'Notes and Look Up'!$B$18</f>
        <v>0</v>
      </c>
      <c r="AN6" s="178">
        <v>4.7999999999999996E-3</v>
      </c>
      <c r="AO6" s="134">
        <f t="shared" si="11"/>
        <v>108.7544225709879</v>
      </c>
      <c r="AP6" s="131">
        <f t="shared" si="12"/>
        <v>37846.53905470379</v>
      </c>
      <c r="AQ6" s="134">
        <f t="shared" ref="AQ6:AQ10" si="21">(AP6)/1000</f>
        <v>37.84653905470379</v>
      </c>
      <c r="AR6" s="140">
        <v>8.3000000000000007</v>
      </c>
      <c r="AS6" s="131">
        <f t="shared" si="13"/>
        <v>329.42483897305641</v>
      </c>
      <c r="AT6" s="162">
        <v>0.125</v>
      </c>
      <c r="AU6" s="316"/>
      <c r="AV6" s="178">
        <v>8.9999999999999998E-4</v>
      </c>
      <c r="AW6" s="316">
        <f>E6*AV6*1000</f>
        <v>25.2</v>
      </c>
      <c r="AX6" s="125">
        <f>AW6*P6</f>
        <v>8769.6</v>
      </c>
      <c r="AY6" s="121">
        <f t="shared" si="14"/>
        <v>9.0990248389730564</v>
      </c>
      <c r="AZ6" s="163">
        <f t="shared" si="15"/>
        <v>0.24041894097162303</v>
      </c>
      <c r="BA6" s="177">
        <f t="shared" si="16"/>
        <v>0.75958105902837691</v>
      </c>
      <c r="BB6" s="164">
        <f t="shared" si="17"/>
        <v>8.26077994704906E-2</v>
      </c>
      <c r="BC6" s="121">
        <f>((BB6*'Notes and Look Up'!$B$21)/K6)*1000</f>
        <v>0.300575340030237</v>
      </c>
      <c r="BD6" s="121">
        <f>BA6*AQ6*'Notes and Look Up'!$B$21</f>
        <v>65.831807554023371</v>
      </c>
      <c r="BE6" s="121">
        <f t="shared" si="18"/>
        <v>69.047729187409573</v>
      </c>
      <c r="BF6" s="134">
        <f t="shared" si="19"/>
        <v>0</v>
      </c>
      <c r="BG6" s="320">
        <f>BF6*'Notes and Look Up'!$B$18</f>
        <v>0</v>
      </c>
    </row>
    <row r="7" spans="1:59" hidden="1" x14ac:dyDescent="0.3">
      <c r="A7" s="314" t="s">
        <v>156</v>
      </c>
      <c r="B7" s="120" t="s">
        <v>12</v>
      </c>
      <c r="C7" s="315">
        <f>VLOOKUP(B7,'Notes and Look Up'!$A$2:$B$11,2,0)</f>
        <v>0.3</v>
      </c>
      <c r="D7" s="129"/>
      <c r="E7" s="141"/>
      <c r="F7" s="140">
        <v>1440</v>
      </c>
      <c r="G7" s="140">
        <v>1565</v>
      </c>
      <c r="H7" s="131">
        <f>AVERAGE(F7:G7)</f>
        <v>1502.5</v>
      </c>
      <c r="I7" s="131">
        <f>F7/'Notes and Look Up'!$B$18</f>
        <v>653.17971514106864</v>
      </c>
      <c r="J7" s="131">
        <f>G7/'Notes and Look Up'!$B$18</f>
        <v>709.87934319150861</v>
      </c>
      <c r="K7" s="131">
        <f>H7/'Notes and Look Up'!$B$18</f>
        <v>681.52952916628863</v>
      </c>
      <c r="L7" s="131">
        <f t="shared" ref="L7:L10" si="22">J7-I7</f>
        <v>56.699628050439969</v>
      </c>
      <c r="M7" s="162">
        <v>2.1999999999999999E-2</v>
      </c>
      <c r="N7" s="121">
        <f t="shared" ref="N7:N10" si="23">K7*M7</f>
        <v>14.993649641658349</v>
      </c>
      <c r="O7" s="122">
        <v>0</v>
      </c>
      <c r="P7" s="122">
        <v>86</v>
      </c>
      <c r="Q7" s="316">
        <f t="shared" ref="Q7:Q10" si="24">365/P7</f>
        <v>4.2441860465116283</v>
      </c>
      <c r="R7" s="121">
        <f>L7*'Notes and Look Up'!$B$18/P7</f>
        <v>1.4534883720930227</v>
      </c>
      <c r="S7" s="131">
        <f t="shared" ref="S7:S10" si="25">P7*Q7</f>
        <v>365.00000000000006</v>
      </c>
      <c r="T7" s="317">
        <v>0.115</v>
      </c>
      <c r="U7" s="131">
        <f t="shared" si="0"/>
        <v>1724.2697087907102</v>
      </c>
      <c r="V7" s="131">
        <f t="shared" si="1"/>
        <v>148287.19495600107</v>
      </c>
      <c r="W7" s="131">
        <f>V7/'Notes and Look Up'!$A$24</f>
        <v>23725.951192960172</v>
      </c>
      <c r="X7" s="134">
        <f t="shared" si="20"/>
        <v>23.725951192960171</v>
      </c>
      <c r="Y7" s="359">
        <v>27</v>
      </c>
      <c r="Z7" s="131">
        <f t="shared" si="2"/>
        <v>1530.8899573618792</v>
      </c>
      <c r="AA7" s="131"/>
      <c r="AB7" s="131"/>
      <c r="AC7" s="131"/>
      <c r="AD7" s="125"/>
      <c r="AE7" s="121">
        <f t="shared" si="3"/>
        <v>1.5308899573618793</v>
      </c>
      <c r="AF7" s="163">
        <f t="shared" si="4"/>
        <v>6.4523860177884723E-2</v>
      </c>
      <c r="AG7" s="177">
        <f t="shared" si="5"/>
        <v>0.9354761398221153</v>
      </c>
      <c r="AH7" s="131">
        <f t="shared" si="6"/>
        <v>22.195061235598292</v>
      </c>
      <c r="AI7" s="121">
        <f t="shared" si="7"/>
        <v>0.3786807413999923</v>
      </c>
      <c r="AJ7" s="131">
        <f t="shared" si="8"/>
        <v>94.199969197597412</v>
      </c>
      <c r="AK7" s="131">
        <f t="shared" si="9"/>
        <v>0</v>
      </c>
      <c r="AL7" s="133">
        <f t="shared" si="10"/>
        <v>0</v>
      </c>
      <c r="AM7" s="319">
        <f>AL7*'Notes and Look Up'!$B$18</f>
        <v>0</v>
      </c>
      <c r="AN7" s="178">
        <v>2.2000000000000001E-3</v>
      </c>
      <c r="AO7" s="134">
        <f t="shared" si="11"/>
        <v>32.986029211648372</v>
      </c>
      <c r="AP7" s="131">
        <f t="shared" si="12"/>
        <v>2836.7985122017599</v>
      </c>
      <c r="AQ7" s="134">
        <f t="shared" si="21"/>
        <v>2.83679851220176</v>
      </c>
      <c r="AR7" s="140">
        <v>8.3000000000000007</v>
      </c>
      <c r="AS7" s="131">
        <f t="shared" si="13"/>
        <v>470.60691281865178</v>
      </c>
      <c r="AT7" s="131"/>
      <c r="AU7" s="131"/>
      <c r="AV7" s="131"/>
      <c r="AW7" s="131"/>
      <c r="AX7" s="125"/>
      <c r="AY7" s="121">
        <f t="shared" si="14"/>
        <v>0.4706069128186518</v>
      </c>
      <c r="AZ7" s="163">
        <f t="shared" si="15"/>
        <v>0.16589366879404971</v>
      </c>
      <c r="BA7" s="177">
        <f t="shared" si="16"/>
        <v>0.83410633120595024</v>
      </c>
      <c r="BB7" s="164">
        <f t="shared" si="17"/>
        <v>2.7513855806780327E-2</v>
      </c>
      <c r="BC7" s="121">
        <f>((BB7*'Notes and Look Up'!$B$21)/K7)*1000</f>
        <v>9.2449009325542703E-2</v>
      </c>
      <c r="BD7" s="121">
        <f>BA7*AQ7*'Notes and Look Up'!$B$21</f>
        <v>5.4185787625873179</v>
      </c>
      <c r="BE7" s="121">
        <f t="shared" si="18"/>
        <v>22.99745637609734</v>
      </c>
      <c r="BF7" s="134">
        <f t="shared" si="19"/>
        <v>0</v>
      </c>
      <c r="BG7" s="320">
        <f>BF7*'Notes and Look Up'!$B$18</f>
        <v>0</v>
      </c>
    </row>
    <row r="8" spans="1:59" hidden="1" x14ac:dyDescent="0.3">
      <c r="A8" s="314" t="s">
        <v>157</v>
      </c>
      <c r="B8" s="159" t="s">
        <v>12</v>
      </c>
      <c r="C8" s="315">
        <f>VLOOKUP(B8,'Notes and Look Up'!$A$2:$B$11,2,0)</f>
        <v>0.3</v>
      </c>
      <c r="D8" s="129"/>
      <c r="E8" s="141"/>
      <c r="F8" s="140">
        <v>90</v>
      </c>
      <c r="G8" s="140">
        <v>275</v>
      </c>
      <c r="H8" s="131">
        <f t="shared" ref="H8" si="26">AVERAGE(F8:G8)</f>
        <v>182.5</v>
      </c>
      <c r="I8" s="131">
        <f>F8/'Notes and Look Up'!$B$18</f>
        <v>40.82373219631679</v>
      </c>
      <c r="J8" s="131">
        <f>G8/'Notes and Look Up'!$B$18</f>
        <v>124.73918171096797</v>
      </c>
      <c r="K8" s="131">
        <f>H8/'Notes and Look Up'!$B$18</f>
        <v>82.781456953642376</v>
      </c>
      <c r="L8" s="131">
        <f t="shared" si="22"/>
        <v>83.915449514651186</v>
      </c>
      <c r="M8" s="162">
        <v>0.02</v>
      </c>
      <c r="N8" s="121">
        <f t="shared" si="23"/>
        <v>1.6556291390728475</v>
      </c>
      <c r="O8" s="122">
        <v>90</v>
      </c>
      <c r="P8" s="122">
        <v>90</v>
      </c>
      <c r="Q8" s="316">
        <f t="shared" si="24"/>
        <v>4.0555555555555554</v>
      </c>
      <c r="R8" s="121">
        <f>L8*'Notes and Look Up'!$B$18/P8</f>
        <v>2.0555555555555558</v>
      </c>
      <c r="S8" s="131">
        <f t="shared" si="25"/>
        <v>365</v>
      </c>
      <c r="T8" s="317">
        <v>0.22500000000000001</v>
      </c>
      <c r="U8" s="131">
        <f t="shared" si="0"/>
        <v>372.51655629139071</v>
      </c>
      <c r="V8" s="131">
        <f t="shared" si="1"/>
        <v>33526.490066225168</v>
      </c>
      <c r="W8" s="131">
        <f>V8/'Notes and Look Up'!$A$24</f>
        <v>5364.2384105960264</v>
      </c>
      <c r="X8" s="134">
        <f t="shared" si="20"/>
        <v>5.3642384105960268</v>
      </c>
      <c r="Y8" s="359">
        <v>27</v>
      </c>
      <c r="Z8" s="131">
        <f t="shared" si="2"/>
        <v>2265.7171368955819</v>
      </c>
      <c r="AA8" s="131"/>
      <c r="AB8" s="131"/>
      <c r="AC8" s="131"/>
      <c r="AD8" s="125"/>
      <c r="AE8" s="121">
        <f t="shared" si="3"/>
        <v>2.265717136895582</v>
      </c>
      <c r="AF8" s="163">
        <f t="shared" si="4"/>
        <v>0.42237442922374424</v>
      </c>
      <c r="AG8" s="177">
        <f t="shared" si="5"/>
        <v>0.57762557077625576</v>
      </c>
      <c r="AH8" s="131">
        <f t="shared" si="6"/>
        <v>3.0985212737004448</v>
      </c>
      <c r="AI8" s="121">
        <f t="shared" si="7"/>
        <v>0.41589041095890428</v>
      </c>
      <c r="AJ8" s="131">
        <f t="shared" si="8"/>
        <v>12.566225165562914</v>
      </c>
      <c r="AK8" s="131">
        <f t="shared" si="9"/>
        <v>0</v>
      </c>
      <c r="AL8" s="133">
        <f t="shared" si="10"/>
        <v>0</v>
      </c>
      <c r="AM8" s="319">
        <f>AL8*'Notes and Look Up'!$B$18</f>
        <v>0</v>
      </c>
      <c r="AN8" s="178">
        <v>6.6E-3</v>
      </c>
      <c r="AO8" s="134">
        <f t="shared" si="11"/>
        <v>10.927152317880793</v>
      </c>
      <c r="AP8" s="131">
        <f t="shared" si="12"/>
        <v>983.44370860927143</v>
      </c>
      <c r="AQ8" s="134">
        <f t="shared" si="21"/>
        <v>0.98344370860927144</v>
      </c>
      <c r="AR8" s="140">
        <v>8.3000000000000007</v>
      </c>
      <c r="AS8" s="131">
        <f t="shared" si="13"/>
        <v>696.49823097160493</v>
      </c>
      <c r="AT8" s="131"/>
      <c r="AU8" s="131"/>
      <c r="AV8" s="131"/>
      <c r="AW8" s="131"/>
      <c r="AX8" s="125"/>
      <c r="AY8" s="121">
        <f t="shared" si="14"/>
        <v>0.6964982309716049</v>
      </c>
      <c r="AZ8" s="163">
        <f t="shared" si="15"/>
        <v>0.70822379041557137</v>
      </c>
      <c r="BA8" s="177">
        <f t="shared" si="16"/>
        <v>0.29177620958442863</v>
      </c>
      <c r="BB8" s="164">
        <f t="shared" si="17"/>
        <v>3.1882830848629614E-3</v>
      </c>
      <c r="BC8" s="121">
        <f>((BB8*'Notes and Look Up'!$B$21)/K8)*1000</f>
        <v>8.8198112633181086E-2</v>
      </c>
      <c r="BD8" s="121">
        <f>BA8*AQ8*'Notes and Look Up'!$B$21</f>
        <v>0.65710514379025642</v>
      </c>
      <c r="BE8" s="121">
        <f t="shared" si="18"/>
        <v>2.6649264164827065</v>
      </c>
      <c r="BF8" s="134">
        <f t="shared" si="19"/>
        <v>0</v>
      </c>
      <c r="BG8" s="320">
        <f>BF8*'Notes and Look Up'!$B$18</f>
        <v>0</v>
      </c>
    </row>
    <row r="9" spans="1:59" hidden="1" x14ac:dyDescent="0.3">
      <c r="A9" s="314" t="s">
        <v>158</v>
      </c>
      <c r="B9" s="159" t="s">
        <v>12</v>
      </c>
      <c r="C9" s="315">
        <f>VLOOKUP(B9,'Notes and Look Up'!$A$2:$B$11,2,0)</f>
        <v>0.3</v>
      </c>
      <c r="D9" s="129"/>
      <c r="E9" s="141"/>
      <c r="F9" s="140">
        <v>275</v>
      </c>
      <c r="G9" s="140">
        <v>810</v>
      </c>
      <c r="H9" s="131">
        <f>AVERAGE(F9:G9)</f>
        <v>542.5</v>
      </c>
      <c r="I9" s="131">
        <f>F9/'Notes and Look Up'!$B$18</f>
        <v>124.73918171096797</v>
      </c>
      <c r="J9" s="131">
        <f>G9/'Notes and Look Up'!$B$18</f>
        <v>367.41358976685109</v>
      </c>
      <c r="K9" s="131">
        <f>H9/'Notes and Look Up'!$B$18</f>
        <v>246.07638573890955</v>
      </c>
      <c r="L9" s="131">
        <f t="shared" si="22"/>
        <v>242.67440805588313</v>
      </c>
      <c r="M9" s="162">
        <v>0.02</v>
      </c>
      <c r="N9" s="121">
        <f t="shared" si="23"/>
        <v>4.9215277147781915</v>
      </c>
      <c r="O9" s="122">
        <v>0</v>
      </c>
      <c r="P9" s="122">
        <v>270</v>
      </c>
      <c r="Q9" s="316">
        <f t="shared" si="24"/>
        <v>1.3518518518518519</v>
      </c>
      <c r="R9" s="121">
        <f>L9*'Notes and Look Up'!$B$18/P9</f>
        <v>1.9814814814814814</v>
      </c>
      <c r="S9" s="131">
        <f t="shared" si="25"/>
        <v>365</v>
      </c>
      <c r="T9" s="317">
        <v>0.126</v>
      </c>
      <c r="U9" s="131">
        <f t="shared" si="0"/>
        <v>620.11249206205207</v>
      </c>
      <c r="V9" s="131">
        <f t="shared" si="1"/>
        <v>167430.37285675405</v>
      </c>
      <c r="W9" s="131">
        <f>V9/'Notes and Look Up'!$A$24</f>
        <v>26788.859657080648</v>
      </c>
      <c r="X9" s="134">
        <f t="shared" si="20"/>
        <v>26.788859657080646</v>
      </c>
      <c r="Y9" s="359">
        <v>27</v>
      </c>
      <c r="Z9" s="131">
        <f t="shared" si="2"/>
        <v>6552.2090175088442</v>
      </c>
      <c r="AA9" s="131"/>
      <c r="AB9" s="131"/>
      <c r="AC9" s="131"/>
      <c r="AD9" s="125"/>
      <c r="AE9" s="121">
        <f t="shared" si="3"/>
        <v>6.5522090175088445</v>
      </c>
      <c r="AF9" s="163">
        <f t="shared" si="4"/>
        <v>0.24458708214468583</v>
      </c>
      <c r="AG9" s="177">
        <f t="shared" si="5"/>
        <v>0.75541291785531417</v>
      </c>
      <c r="AH9" s="131">
        <f t="shared" si="6"/>
        <v>20.236650639571803</v>
      </c>
      <c r="AI9" s="121">
        <f t="shared" si="7"/>
        <v>0.30458248847926267</v>
      </c>
      <c r="AJ9" s="131">
        <f t="shared" si="8"/>
        <v>27.356953642384102</v>
      </c>
      <c r="AK9" s="131">
        <f t="shared" si="9"/>
        <v>0</v>
      </c>
      <c r="AL9" s="133">
        <f t="shared" si="10"/>
        <v>0</v>
      </c>
      <c r="AM9" s="319">
        <f>AL9*'Notes and Look Up'!$B$18</f>
        <v>0</v>
      </c>
      <c r="AN9" s="178">
        <v>3.3E-3</v>
      </c>
      <c r="AO9" s="134">
        <f t="shared" si="11"/>
        <v>16.241041458768031</v>
      </c>
      <c r="AP9" s="131">
        <f t="shared" si="12"/>
        <v>4385.0811938673687</v>
      </c>
      <c r="AQ9" s="134">
        <f t="shared" si="21"/>
        <v>4.3850811938673688</v>
      </c>
      <c r="AR9" s="140">
        <v>8.3000000000000007</v>
      </c>
      <c r="AS9" s="131">
        <f t="shared" si="13"/>
        <v>2014.1975868638301</v>
      </c>
      <c r="AT9" s="131"/>
      <c r="AU9" s="131"/>
      <c r="AV9" s="131"/>
      <c r="AW9" s="131"/>
      <c r="AX9" s="125"/>
      <c r="AY9" s="121">
        <f t="shared" si="14"/>
        <v>2.0141975868638302</v>
      </c>
      <c r="AZ9" s="163">
        <f t="shared" si="15"/>
        <v>0.4593295991145453</v>
      </c>
      <c r="BA9" s="177">
        <f t="shared" si="16"/>
        <v>0.5406704008854547</v>
      </c>
      <c r="BB9" s="164">
        <f t="shared" si="17"/>
        <v>8.7810503963094023E-3</v>
      </c>
      <c r="BC9" s="121">
        <f>((BB9*'Notes and Look Up'!$B$21)/K9)*1000</f>
        <v>8.1716924389827639E-2</v>
      </c>
      <c r="BD9" s="121">
        <f>BA9*AQ9*'Notes and Look Up'!$B$21</f>
        <v>5.4293234600381037</v>
      </c>
      <c r="BE9" s="121">
        <f t="shared" si="18"/>
        <v>7.3396409737552144</v>
      </c>
      <c r="BF9" s="134">
        <f t="shared" si="19"/>
        <v>0</v>
      </c>
      <c r="BG9" s="320">
        <f>BF9*'Notes and Look Up'!$B$18</f>
        <v>0</v>
      </c>
    </row>
    <row r="10" spans="1:59" hidden="1" x14ac:dyDescent="0.3">
      <c r="A10" s="314" t="s">
        <v>77</v>
      </c>
      <c r="B10" s="159" t="s">
        <v>12</v>
      </c>
      <c r="C10" s="315">
        <f>VLOOKUP(B10,'Notes and Look Up'!$A$2:$B$11,2,0)</f>
        <v>0.3</v>
      </c>
      <c r="D10" s="129"/>
      <c r="E10" s="141"/>
      <c r="F10" s="140">
        <v>810</v>
      </c>
      <c r="G10" s="140">
        <v>1300</v>
      </c>
      <c r="H10" s="131">
        <f t="shared" ref="H10" si="27">AVERAGE(F10:G10)</f>
        <v>1055</v>
      </c>
      <c r="I10" s="131">
        <f>F10/'Notes and Look Up'!$B$18</f>
        <v>367.41358976685109</v>
      </c>
      <c r="J10" s="131">
        <f>G10/'Notes and Look Up'!$B$18</f>
        <v>589.67613172457584</v>
      </c>
      <c r="K10" s="131">
        <f>H10/'Notes and Look Up'!$B$18</f>
        <v>478.54486074571349</v>
      </c>
      <c r="L10" s="131">
        <f t="shared" si="22"/>
        <v>222.26254195772475</v>
      </c>
      <c r="M10" s="162">
        <v>2.1999999999999999E-2</v>
      </c>
      <c r="N10" s="121">
        <f t="shared" si="23"/>
        <v>10.527986936405696</v>
      </c>
      <c r="O10" s="122">
        <v>0</v>
      </c>
      <c r="P10" s="122">
        <v>330</v>
      </c>
      <c r="Q10" s="316">
        <f t="shared" si="24"/>
        <v>1.106060606060606</v>
      </c>
      <c r="R10" s="121">
        <f>L10*'Notes and Look Up'!$B$18/P10</f>
        <v>1.4848484848484849</v>
      </c>
      <c r="S10" s="131">
        <f t="shared" si="25"/>
        <v>364.99999999999994</v>
      </c>
      <c r="T10" s="317">
        <v>0.107</v>
      </c>
      <c r="U10" s="131">
        <f t="shared" si="0"/>
        <v>1126.4946021954095</v>
      </c>
      <c r="V10" s="131">
        <f t="shared" si="1"/>
        <v>371743.21872448514</v>
      </c>
      <c r="W10" s="131">
        <f>V10/'Notes and Look Up'!$A$24</f>
        <v>59478.914995917621</v>
      </c>
      <c r="X10" s="134">
        <f t="shared" si="20"/>
        <v>59.47891499591762</v>
      </c>
      <c r="Y10" s="359">
        <v>27</v>
      </c>
      <c r="Z10" s="131">
        <f t="shared" si="2"/>
        <v>6001.0886328585684</v>
      </c>
      <c r="AA10" s="131"/>
      <c r="AB10" s="131"/>
      <c r="AC10" s="131"/>
      <c r="AD10" s="125"/>
      <c r="AE10" s="121">
        <f t="shared" si="3"/>
        <v>6.0010886328585684</v>
      </c>
      <c r="AF10" s="163">
        <f t="shared" si="4"/>
        <v>0.1008943864102171</v>
      </c>
      <c r="AG10" s="177">
        <f t="shared" si="5"/>
        <v>0.89910561358978291</v>
      </c>
      <c r="AH10" s="131">
        <f t="shared" si="6"/>
        <v>53.477826363059052</v>
      </c>
      <c r="AI10" s="121">
        <f t="shared" si="7"/>
        <v>0.33863913830245573</v>
      </c>
      <c r="AJ10" s="131">
        <f t="shared" si="8"/>
        <v>59.149717037928944</v>
      </c>
      <c r="AK10" s="131">
        <f t="shared" si="9"/>
        <v>0</v>
      </c>
      <c r="AL10" s="133">
        <f t="shared" si="10"/>
        <v>0</v>
      </c>
      <c r="AM10" s="319">
        <f>AL10*'Notes and Look Up'!$B$18</f>
        <v>0</v>
      </c>
      <c r="AN10" s="178">
        <v>2.3999999999999998E-3</v>
      </c>
      <c r="AO10" s="134">
        <f t="shared" si="11"/>
        <v>25.267168647373669</v>
      </c>
      <c r="AP10" s="131">
        <f t="shared" si="12"/>
        <v>8338.1656536333103</v>
      </c>
      <c r="AQ10" s="134">
        <f t="shared" si="21"/>
        <v>8.3381656536333111</v>
      </c>
      <c r="AR10" s="140">
        <v>8.3000000000000007</v>
      </c>
      <c r="AS10" s="131">
        <f t="shared" si="13"/>
        <v>1844.7790982491156</v>
      </c>
      <c r="AT10" s="131"/>
      <c r="AU10" s="131"/>
      <c r="AV10" s="131"/>
      <c r="AW10" s="131"/>
      <c r="AX10" s="125"/>
      <c r="AY10" s="121">
        <f t="shared" si="14"/>
        <v>1.8447790982491157</v>
      </c>
      <c r="AZ10" s="163">
        <f t="shared" si="15"/>
        <v>0.22124519647139212</v>
      </c>
      <c r="BA10" s="177">
        <f t="shared" si="16"/>
        <v>0.77875480352860782</v>
      </c>
      <c r="BB10" s="164">
        <f t="shared" si="17"/>
        <v>1.9676928955709681E-2</v>
      </c>
      <c r="BC10" s="121">
        <f>((BB10*'Notes and Look Up'!$B$21)/K10)*1000</f>
        <v>9.4160800804251016E-2</v>
      </c>
      <c r="BD10" s="121">
        <f>BA10*AQ10*'Notes and Look Up'!$B$21</f>
        <v>14.869855211829806</v>
      </c>
      <c r="BE10" s="121">
        <f t="shared" si="18"/>
        <v>16.446961067629935</v>
      </c>
      <c r="BF10" s="134">
        <f t="shared" si="19"/>
        <v>0</v>
      </c>
      <c r="BG10" s="320">
        <f>BF10*'Notes and Look Up'!$B$18</f>
        <v>0</v>
      </c>
    </row>
    <row r="11" spans="1:59" hidden="1" x14ac:dyDescent="0.3">
      <c r="A11" s="314"/>
      <c r="B11" s="120"/>
      <c r="C11" s="315"/>
      <c r="D11" s="129"/>
      <c r="E11" s="140"/>
      <c r="F11" s="140"/>
      <c r="G11" s="140"/>
      <c r="H11" s="122"/>
      <c r="I11" s="131"/>
      <c r="J11" s="131"/>
      <c r="K11" s="122"/>
      <c r="L11" s="122"/>
      <c r="M11" s="122"/>
      <c r="N11" s="122"/>
      <c r="O11" s="122"/>
      <c r="P11" s="122"/>
      <c r="Q11" s="134"/>
      <c r="R11" s="122"/>
      <c r="S11" s="122"/>
      <c r="T11" s="317"/>
      <c r="U11" s="122"/>
      <c r="V11" s="122"/>
      <c r="W11" s="122"/>
      <c r="X11" s="122"/>
      <c r="Y11" s="140"/>
      <c r="Z11" s="122"/>
      <c r="AA11" s="122"/>
      <c r="AB11" s="122"/>
      <c r="AC11" s="122"/>
      <c r="AD11" s="122"/>
      <c r="AE11" s="122"/>
      <c r="AF11" s="122"/>
      <c r="AG11" s="122"/>
      <c r="AH11" s="131"/>
      <c r="AI11" s="131"/>
      <c r="AJ11" s="131"/>
      <c r="AK11" s="131"/>
      <c r="AL11" s="133"/>
      <c r="AM11" s="319"/>
      <c r="AN11" s="122"/>
      <c r="AO11" s="122"/>
      <c r="AP11" s="122"/>
      <c r="AQ11" s="122"/>
      <c r="AR11" s="140"/>
      <c r="AS11" s="122"/>
      <c r="AT11" s="122"/>
      <c r="AU11" s="122"/>
      <c r="AV11" s="122"/>
      <c r="AW11" s="122"/>
      <c r="AX11" s="122"/>
      <c r="AY11" s="122"/>
      <c r="AZ11" s="122"/>
      <c r="BA11" s="122"/>
      <c r="BB11" s="122"/>
      <c r="BC11" s="121"/>
      <c r="BD11" s="122"/>
      <c r="BE11" s="121"/>
      <c r="BF11" s="134"/>
      <c r="BG11" s="320"/>
    </row>
    <row r="12" spans="1:59" ht="14.6" x14ac:dyDescent="0.4">
      <c r="A12" s="321" t="s">
        <v>159</v>
      </c>
      <c r="B12" s="322" t="s">
        <v>13</v>
      </c>
      <c r="C12" s="326">
        <f>VLOOKUP(B12,'Notes and Look Up'!$A$2:$B$11,2,0)</f>
        <v>0.2</v>
      </c>
      <c r="D12" s="153"/>
      <c r="E12" s="82"/>
      <c r="F12" s="152" t="s">
        <v>47</v>
      </c>
      <c r="G12" s="152" t="s">
        <v>47</v>
      </c>
      <c r="H12" s="136"/>
      <c r="I12" s="167" t="s">
        <v>47</v>
      </c>
      <c r="J12" s="136" t="s">
        <v>47</v>
      </c>
      <c r="K12" s="136" t="s">
        <v>47</v>
      </c>
      <c r="L12" s="136" t="s">
        <v>47</v>
      </c>
      <c r="M12" s="136" t="s">
        <v>47</v>
      </c>
      <c r="N12" s="136" t="s">
        <v>47</v>
      </c>
      <c r="O12" s="136" t="s">
        <v>47</v>
      </c>
      <c r="P12" s="323"/>
      <c r="Q12" s="323"/>
      <c r="R12" s="323"/>
      <c r="S12" s="323"/>
      <c r="T12" s="152" t="s">
        <v>47</v>
      </c>
      <c r="U12" s="136" t="s">
        <v>47</v>
      </c>
      <c r="V12" s="136" t="s">
        <v>47</v>
      </c>
      <c r="W12" s="136" t="s">
        <v>47</v>
      </c>
      <c r="X12" s="136" t="s">
        <v>47</v>
      </c>
      <c r="Y12" s="152" t="s">
        <v>47</v>
      </c>
      <c r="Z12" s="136" t="s">
        <v>47</v>
      </c>
      <c r="AA12" s="136" t="s">
        <v>47</v>
      </c>
      <c r="AB12" s="136" t="s">
        <v>47</v>
      </c>
      <c r="AC12" s="136" t="s">
        <v>47</v>
      </c>
      <c r="AD12" s="136" t="s">
        <v>47</v>
      </c>
      <c r="AE12" s="136" t="s">
        <v>47</v>
      </c>
      <c r="AF12" s="136" t="s">
        <v>47</v>
      </c>
      <c r="AG12" s="136" t="s">
        <v>47</v>
      </c>
      <c r="AH12" s="136" t="s">
        <v>47</v>
      </c>
      <c r="AI12" s="136" t="s">
        <v>47</v>
      </c>
      <c r="AJ12" s="372">
        <v>202.12688954954046</v>
      </c>
      <c r="AK12" s="167">
        <f>AJ12*D12</f>
        <v>0</v>
      </c>
      <c r="AL12" s="191">
        <f>AK12*(1-C12)</f>
        <v>0</v>
      </c>
      <c r="AM12" s="324">
        <f>AL12*'Notes and Look Up'!$B$18</f>
        <v>0</v>
      </c>
      <c r="AN12" s="136" t="s">
        <v>47</v>
      </c>
      <c r="AO12" s="136" t="s">
        <v>47</v>
      </c>
      <c r="AP12" s="136" t="s">
        <v>47</v>
      </c>
      <c r="AQ12" s="136" t="s">
        <v>47</v>
      </c>
      <c r="AR12" s="152" t="s">
        <v>47</v>
      </c>
      <c r="AS12" s="136" t="s">
        <v>47</v>
      </c>
      <c r="AT12" s="136" t="s">
        <v>47</v>
      </c>
      <c r="AU12" s="136" t="s">
        <v>47</v>
      </c>
      <c r="AV12" s="136" t="s">
        <v>47</v>
      </c>
      <c r="AW12" s="136" t="s">
        <v>47</v>
      </c>
      <c r="AX12" s="136" t="s">
        <v>47</v>
      </c>
      <c r="AY12" s="136" t="s">
        <v>47</v>
      </c>
      <c r="AZ12" s="136" t="s">
        <v>47</v>
      </c>
      <c r="BA12" s="136" t="s">
        <v>47</v>
      </c>
      <c r="BB12" s="136" t="s">
        <v>47</v>
      </c>
      <c r="BC12" s="136" t="s">
        <v>47</v>
      </c>
      <c r="BD12" s="136" t="s">
        <v>47</v>
      </c>
      <c r="BE12" s="371">
        <v>69.942641316143551</v>
      </c>
      <c r="BF12" s="186">
        <f>BE12*D12</f>
        <v>0</v>
      </c>
      <c r="BG12" s="325">
        <f>BF12*'Notes and Look Up'!$B$18</f>
        <v>0</v>
      </c>
    </row>
    <row r="13" spans="1:59" x14ac:dyDescent="0.3">
      <c r="D13" s="7"/>
      <c r="AC13" s="306"/>
    </row>
    <row r="14" spans="1:59" x14ac:dyDescent="0.3">
      <c r="A14" s="306" t="s">
        <v>345</v>
      </c>
      <c r="AC14" s="306"/>
      <c r="AJ14" s="370">
        <f>SUM(AK5:AK10)/100</f>
        <v>0</v>
      </c>
      <c r="AZ14" s="311"/>
      <c r="BE14" s="370">
        <f>SUM(BF5:BF10)/100</f>
        <v>0</v>
      </c>
    </row>
  </sheetData>
  <sheetProtection password="DD31" sheet="1" objects="1" scenarios="1"/>
  <protectedRanges>
    <protectedRange sqref="B2" name="Operation Name"/>
    <protectedRange sqref="B5:B12" name="Storage Type"/>
    <protectedRange sqref="D5:D12" name="Animal Numbers"/>
  </protectedRanges>
  <dataValidations count="1">
    <dataValidation type="list" allowBlank="1" showInputMessage="1" showErrorMessage="1" sqref="B6:B10 B12" xr:uid="{00000000-0002-0000-0300-000000000000}">
      <formula1>Storages</formula1>
    </dataValidation>
  </dataValidations>
  <pageMargins left="0.7" right="0.7" top="0.75" bottom="0.75" header="0.3" footer="0.3"/>
  <pageSetup orientation="portrait" r:id="rId1"/>
  <ignoredErrors>
    <ignoredError sqref="H5:H6" formulaRange="1"/>
    <ignoredError sqref="L6"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'Notes and Look Up'!$A$2:$A$11</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11"/>
  <sheetViews>
    <sheetView workbookViewId="0">
      <pane xSplit="1" topLeftCell="B1" activePane="topRight" state="frozenSplit"/>
      <selection activeCell="H23" sqref="H23"/>
      <selection pane="topRight" activeCell="B2" sqref="B2"/>
    </sheetView>
  </sheetViews>
  <sheetFormatPr defaultColWidth="9.15234375" defaultRowHeight="12.45" x14ac:dyDescent="0.3"/>
  <cols>
    <col min="1" max="1" width="26.15234375" style="3" customWidth="1"/>
    <col min="2" max="2" width="29.53515625" style="3" customWidth="1"/>
    <col min="3" max="3" width="14" style="2" customWidth="1"/>
    <col min="4" max="4" width="9.15234375" style="2"/>
    <col min="5" max="5" width="12.3046875" style="2" hidden="1" customWidth="1"/>
    <col min="6" max="6" width="11.3046875" style="2" hidden="1" customWidth="1"/>
    <col min="7" max="7" width="11" style="2" hidden="1" customWidth="1"/>
    <col min="8" max="8" width="9.15234375" style="2"/>
    <col min="9" max="9" width="9.15234375" style="5" hidden="1" customWidth="1"/>
    <col min="10" max="10" width="9.15234375" style="2"/>
    <col min="11" max="11" width="9.15234375" style="5" hidden="1" customWidth="1"/>
    <col min="12" max="12" width="9.15234375" style="5"/>
    <col min="13" max="13" width="9.15234375" style="9" hidden="1" customWidth="1"/>
    <col min="14" max="15" width="9.15234375" style="2"/>
    <col min="16" max="16" width="13.84375" style="2" hidden="1" customWidth="1"/>
    <col min="17" max="17" width="10.3828125" style="2" hidden="1" customWidth="1"/>
    <col min="18" max="18" width="12.69140625" style="2" hidden="1" customWidth="1"/>
    <col min="19" max="19" width="14.3828125" style="2" customWidth="1"/>
    <col min="20" max="20" width="14" style="2" hidden="1" customWidth="1"/>
    <col min="21" max="21" width="14.69140625" style="2" hidden="1" customWidth="1"/>
    <col min="22" max="22" width="10.69140625" style="2" customWidth="1"/>
    <col min="23" max="23" width="12.3046875" style="3" customWidth="1"/>
    <col min="24" max="24" width="13" style="55" customWidth="1"/>
    <col min="25" max="25" width="14.53515625" style="55" customWidth="1"/>
    <col min="26" max="26" width="13" style="55" customWidth="1"/>
    <col min="27" max="16384" width="9.15234375" style="3"/>
  </cols>
  <sheetData>
    <row r="1" spans="1:26" ht="12.9" thickBot="1" x14ac:dyDescent="0.35">
      <c r="A1" s="290" t="s">
        <v>306</v>
      </c>
      <c r="B1" s="291"/>
      <c r="C1" s="15"/>
      <c r="D1" s="15"/>
      <c r="E1" s="15"/>
      <c r="F1" s="15"/>
      <c r="G1" s="15"/>
      <c r="H1" s="15"/>
      <c r="I1" s="292"/>
      <c r="J1" s="15"/>
      <c r="K1" s="292"/>
      <c r="L1" s="292"/>
      <c r="M1" s="263"/>
      <c r="N1" s="15"/>
      <c r="O1" s="15"/>
      <c r="P1" s="15"/>
      <c r="Q1" s="15"/>
      <c r="R1" s="15"/>
      <c r="S1" s="15"/>
      <c r="T1" s="15"/>
      <c r="U1" s="15"/>
      <c r="V1" s="15"/>
    </row>
    <row r="2" spans="1:26" ht="12.9" thickBot="1" x14ac:dyDescent="0.35">
      <c r="A2" s="293" t="s">
        <v>303</v>
      </c>
      <c r="B2" s="375"/>
      <c r="C2" s="15"/>
      <c r="D2" s="15"/>
      <c r="E2" s="15"/>
      <c r="F2" s="15"/>
      <c r="G2" s="15"/>
      <c r="H2" s="15"/>
      <c r="I2" s="292"/>
      <c r="J2" s="15"/>
      <c r="K2" s="292"/>
      <c r="L2" s="292"/>
      <c r="M2" s="263"/>
      <c r="N2" s="15"/>
      <c r="O2" s="15"/>
      <c r="P2" s="15"/>
      <c r="Q2" s="15"/>
      <c r="R2" s="15"/>
      <c r="S2" s="15"/>
      <c r="T2" s="15"/>
      <c r="U2" s="15"/>
      <c r="V2" s="15"/>
    </row>
    <row r="3" spans="1:26" s="18" customFormat="1" ht="49.75" x14ac:dyDescent="0.3">
      <c r="A3" s="21" t="s">
        <v>148</v>
      </c>
      <c r="B3" s="298" t="s">
        <v>9</v>
      </c>
      <c r="C3" s="20" t="s">
        <v>145</v>
      </c>
      <c r="D3" s="19" t="s">
        <v>8</v>
      </c>
      <c r="E3" s="21" t="s">
        <v>269</v>
      </c>
      <c r="F3" s="21" t="s">
        <v>270</v>
      </c>
      <c r="G3" s="21" t="s">
        <v>34</v>
      </c>
      <c r="H3" s="19" t="s">
        <v>60</v>
      </c>
      <c r="I3" s="43" t="s">
        <v>35</v>
      </c>
      <c r="J3" s="19" t="s">
        <v>61</v>
      </c>
      <c r="K3" s="43" t="s">
        <v>36</v>
      </c>
      <c r="L3" s="44" t="s">
        <v>150</v>
      </c>
      <c r="M3" s="45" t="s">
        <v>150</v>
      </c>
      <c r="N3" s="19" t="s">
        <v>2</v>
      </c>
      <c r="O3" s="19" t="s">
        <v>151</v>
      </c>
      <c r="P3" s="46" t="s">
        <v>37</v>
      </c>
      <c r="Q3" s="46" t="s">
        <v>38</v>
      </c>
      <c r="R3" s="21" t="s">
        <v>39</v>
      </c>
      <c r="S3" s="20" t="s">
        <v>152</v>
      </c>
      <c r="T3" s="46" t="s">
        <v>40</v>
      </c>
      <c r="U3" s="46" t="s">
        <v>41</v>
      </c>
      <c r="V3" s="22" t="s">
        <v>153</v>
      </c>
      <c r="X3" s="47"/>
      <c r="Y3" s="47"/>
      <c r="Z3" s="47"/>
    </row>
    <row r="4" spans="1:26" s="7" customFormat="1" ht="15.75" customHeight="1" x14ac:dyDescent="0.3">
      <c r="A4" s="27"/>
      <c r="B4" s="25"/>
      <c r="C4" s="26"/>
      <c r="D4" s="25"/>
      <c r="E4" s="27"/>
      <c r="F4" s="27"/>
      <c r="G4" s="27"/>
      <c r="H4" s="25" t="s">
        <v>149</v>
      </c>
      <c r="I4" s="48"/>
      <c r="J4" s="25" t="s">
        <v>149</v>
      </c>
      <c r="K4" s="48"/>
      <c r="L4" s="49" t="s">
        <v>149</v>
      </c>
      <c r="M4" s="50" t="s">
        <v>141</v>
      </c>
      <c r="N4" s="25"/>
      <c r="O4" s="25"/>
      <c r="P4" s="51"/>
      <c r="Q4" s="51"/>
      <c r="R4" s="27"/>
      <c r="S4" s="26" t="s">
        <v>154</v>
      </c>
      <c r="T4" s="51"/>
      <c r="U4" s="51"/>
      <c r="V4" s="52" t="s">
        <v>154</v>
      </c>
      <c r="X4" s="53"/>
      <c r="Y4" s="53"/>
      <c r="Z4" s="53"/>
    </row>
    <row r="5" spans="1:26" ht="15.75" customHeight="1" x14ac:dyDescent="0.3">
      <c r="A5" s="137" t="s">
        <v>19</v>
      </c>
      <c r="B5" s="120" t="s">
        <v>28</v>
      </c>
      <c r="C5" s="138">
        <f>VLOOKUP(B5,'Notes and Look Up'!$A$1:$B$11,2,0)</f>
        <v>0.4</v>
      </c>
      <c r="D5" s="139"/>
      <c r="E5" s="140">
        <v>0.45</v>
      </c>
      <c r="F5" s="140">
        <v>7.0000000000000007E-2</v>
      </c>
      <c r="G5" s="140">
        <f>F5*'Notes and Look Up'!$B$21</f>
        <v>0.16030000000000003</v>
      </c>
      <c r="H5" s="129">
        <v>120</v>
      </c>
      <c r="I5" s="141">
        <f>H5/'Notes and Look Up'!$B$18</f>
        <v>54.431642928422384</v>
      </c>
      <c r="J5" s="129">
        <v>170</v>
      </c>
      <c r="K5" s="141">
        <f>J5/'Notes and Look Up'!$B$18</f>
        <v>77.111494148598382</v>
      </c>
      <c r="L5" s="142">
        <f>AVERAGE(H5,J5)</f>
        <v>145</v>
      </c>
      <c r="M5" s="143">
        <f>AVERAGE(I5,K5)</f>
        <v>65.77156853851038</v>
      </c>
      <c r="N5" s="129">
        <v>365</v>
      </c>
      <c r="O5" s="129">
        <v>1</v>
      </c>
      <c r="P5" s="144">
        <f>(E5/1000*M5*N5*O5)</f>
        <v>10.80298013245033</v>
      </c>
      <c r="Q5" s="141">
        <f t="shared" ref="Q5:Q11" si="0">P5*D5</f>
        <v>0</v>
      </c>
      <c r="R5" s="145">
        <f t="shared" ref="R5:R8" si="1">Q5*(1-C5)</f>
        <v>0</v>
      </c>
      <c r="S5" s="146">
        <f>+R5*'Notes and Look Up'!$B$18</f>
        <v>0</v>
      </c>
      <c r="T5" s="144">
        <f>(G5/1000*M5*N5*O5)</f>
        <v>3.8482615894039736</v>
      </c>
      <c r="U5" s="141">
        <f t="shared" ref="U5:U11" si="2">(T5*D5)</f>
        <v>0</v>
      </c>
      <c r="V5" s="147">
        <f>+U5*'Notes and Look Up'!$B$18</f>
        <v>0</v>
      </c>
      <c r="W5" s="54"/>
    </row>
    <row r="6" spans="1:26" ht="15.75" customHeight="1" x14ac:dyDescent="0.3">
      <c r="A6" s="137" t="s">
        <v>22</v>
      </c>
      <c r="B6" s="120" t="s">
        <v>28</v>
      </c>
      <c r="C6" s="148">
        <f>VLOOKUP(B6,'Notes and Look Up'!$A$1:$B$11,2,0)</f>
        <v>0.4</v>
      </c>
      <c r="D6" s="139"/>
      <c r="E6" s="140">
        <v>0.45</v>
      </c>
      <c r="F6" s="140">
        <v>7.0000000000000007E-2</v>
      </c>
      <c r="G6" s="140">
        <f>F6*'Notes and Look Up'!$B$21</f>
        <v>0.16030000000000003</v>
      </c>
      <c r="H6" s="129">
        <v>45</v>
      </c>
      <c r="I6" s="141">
        <f>H6/'Notes and Look Up'!$B$18</f>
        <v>20.411866098158395</v>
      </c>
      <c r="J6" s="129">
        <v>80</v>
      </c>
      <c r="K6" s="141">
        <f>J6/'Notes and Look Up'!$B$18</f>
        <v>36.287761952281592</v>
      </c>
      <c r="L6" s="142">
        <f t="shared" ref="L6:L8" si="3">AVERAGE(H6,J6)</f>
        <v>62.5</v>
      </c>
      <c r="M6" s="143">
        <f t="shared" ref="M6:M11" si="4">AVERAGE(I6,K6)</f>
        <v>28.349814025219992</v>
      </c>
      <c r="N6" s="129">
        <v>210</v>
      </c>
      <c r="O6" s="129">
        <v>1</v>
      </c>
      <c r="P6" s="144">
        <f t="shared" ref="P6:P11" si="5">(E6/1000*M6*N6*O6)</f>
        <v>2.6790574253832893</v>
      </c>
      <c r="Q6" s="141">
        <f t="shared" si="0"/>
        <v>0</v>
      </c>
      <c r="R6" s="145">
        <f t="shared" si="1"/>
        <v>0</v>
      </c>
      <c r="S6" s="146">
        <f>+R6*'Notes and Look Up'!$B$18</f>
        <v>0</v>
      </c>
      <c r="T6" s="144">
        <f t="shared" ref="T6:T11" si="6">(G6/1000*M6*N6*O6)</f>
        <v>0.95433978953098064</v>
      </c>
      <c r="U6" s="141">
        <f t="shared" si="2"/>
        <v>0</v>
      </c>
      <c r="V6" s="147">
        <f>+U6*'Notes and Look Up'!$B$18</f>
        <v>0</v>
      </c>
      <c r="W6" s="54"/>
    </row>
    <row r="7" spans="1:26" ht="15.75" customHeight="1" x14ac:dyDescent="0.3">
      <c r="A7" s="137" t="s">
        <v>20</v>
      </c>
      <c r="B7" s="120" t="s">
        <v>28</v>
      </c>
      <c r="C7" s="148">
        <f>VLOOKUP(B7,'Notes and Look Up'!$A$1:$B$11,2,0)</f>
        <v>0.4</v>
      </c>
      <c r="D7" s="139"/>
      <c r="E7" s="140">
        <v>0.45</v>
      </c>
      <c r="F7" s="140">
        <v>7.0000000000000007E-2</v>
      </c>
      <c r="G7" s="140">
        <f>F7*'Notes and Look Up'!$B$21</f>
        <v>0.16030000000000003</v>
      </c>
      <c r="H7" s="129">
        <v>100</v>
      </c>
      <c r="I7" s="141">
        <f>H7/'Notes and Look Up'!$B$18</f>
        <v>45.359702440351988</v>
      </c>
      <c r="J7" s="129">
        <v>200</v>
      </c>
      <c r="K7" s="141">
        <f>J7/'Notes and Look Up'!$B$18</f>
        <v>90.719404880703976</v>
      </c>
      <c r="L7" s="142">
        <f t="shared" si="3"/>
        <v>150</v>
      </c>
      <c r="M7" s="143">
        <f t="shared" si="4"/>
        <v>68.039553660527986</v>
      </c>
      <c r="N7" s="129">
        <v>365</v>
      </c>
      <c r="O7" s="129">
        <v>1</v>
      </c>
      <c r="P7" s="144">
        <f t="shared" si="5"/>
        <v>11.17549668874172</v>
      </c>
      <c r="Q7" s="141">
        <f t="shared" si="0"/>
        <v>0</v>
      </c>
      <c r="R7" s="145">
        <f t="shared" si="1"/>
        <v>0</v>
      </c>
      <c r="S7" s="146">
        <f>+R7*'Notes and Look Up'!$B$18</f>
        <v>0</v>
      </c>
      <c r="T7" s="144">
        <f t="shared" si="6"/>
        <v>3.9809602649006628</v>
      </c>
      <c r="U7" s="141">
        <f t="shared" si="2"/>
        <v>0</v>
      </c>
      <c r="V7" s="147">
        <f>+U7*'Notes and Look Up'!$B$18</f>
        <v>0</v>
      </c>
      <c r="W7" s="54"/>
    </row>
    <row r="8" spans="1:26" ht="15.75" customHeight="1" x14ac:dyDescent="0.3">
      <c r="A8" s="137" t="s">
        <v>21</v>
      </c>
      <c r="B8" s="120" t="s">
        <v>28</v>
      </c>
      <c r="C8" s="148">
        <f>VLOOKUP(B8,'Notes and Look Up'!$A$1:$B$11,2,0)</f>
        <v>0.4</v>
      </c>
      <c r="D8" s="139"/>
      <c r="E8" s="140">
        <v>0.45</v>
      </c>
      <c r="F8" s="140">
        <v>7.0000000000000007E-2</v>
      </c>
      <c r="G8" s="140">
        <f>F8*'Notes and Look Up'!$B$21</f>
        <v>0.16030000000000003</v>
      </c>
      <c r="H8" s="129">
        <v>8</v>
      </c>
      <c r="I8" s="141">
        <f>H8/'Notes and Look Up'!$B$18</f>
        <v>3.6287761952281592</v>
      </c>
      <c r="J8" s="129">
        <v>45</v>
      </c>
      <c r="K8" s="141">
        <f>J8/'Notes and Look Up'!$B$18</f>
        <v>20.411866098158395</v>
      </c>
      <c r="L8" s="142">
        <f t="shared" si="3"/>
        <v>26.5</v>
      </c>
      <c r="M8" s="143">
        <f t="shared" si="4"/>
        <v>12.020321146693277</v>
      </c>
      <c r="N8" s="129">
        <v>70</v>
      </c>
      <c r="O8" s="129">
        <v>1.4</v>
      </c>
      <c r="P8" s="144">
        <f t="shared" si="5"/>
        <v>0.53009616256917347</v>
      </c>
      <c r="Q8" s="141">
        <f t="shared" si="0"/>
        <v>0</v>
      </c>
      <c r="R8" s="145">
        <f t="shared" si="1"/>
        <v>0</v>
      </c>
      <c r="S8" s="146">
        <f>+R8*'Notes and Look Up'!$B$18</f>
        <v>0</v>
      </c>
      <c r="T8" s="144">
        <f t="shared" si="6"/>
        <v>0.18883203302186335</v>
      </c>
      <c r="U8" s="141">
        <f t="shared" si="2"/>
        <v>0</v>
      </c>
      <c r="V8" s="147">
        <f>+U8*'Notes and Look Up'!$B$18</f>
        <v>0</v>
      </c>
      <c r="W8" s="54"/>
    </row>
    <row r="9" spans="1:26" ht="15.75" customHeight="1" x14ac:dyDescent="0.3">
      <c r="A9" s="137"/>
      <c r="B9" s="120"/>
      <c r="C9" s="148"/>
      <c r="D9" s="139"/>
      <c r="E9" s="140"/>
      <c r="F9" s="140"/>
      <c r="G9" s="140"/>
      <c r="H9" s="129"/>
      <c r="I9" s="141"/>
      <c r="J9" s="129"/>
      <c r="K9" s="141"/>
      <c r="L9" s="142"/>
      <c r="M9" s="143"/>
      <c r="N9" s="129"/>
      <c r="O9" s="129"/>
      <c r="P9" s="144"/>
      <c r="Q9" s="141"/>
      <c r="R9" s="145"/>
      <c r="S9" s="146"/>
      <c r="T9" s="144"/>
      <c r="U9" s="141"/>
      <c r="V9" s="147"/>
      <c r="W9" s="54"/>
    </row>
    <row r="10" spans="1:26" ht="15.75" customHeight="1" x14ac:dyDescent="0.3">
      <c r="A10" s="137" t="s">
        <v>42</v>
      </c>
      <c r="B10" s="120" t="s">
        <v>28</v>
      </c>
      <c r="C10" s="148">
        <f>VLOOKUP(B10,'Notes and Look Up'!$A$1:$B$11,2,0)</f>
        <v>0.4</v>
      </c>
      <c r="D10" s="139"/>
      <c r="E10" s="140" t="s">
        <v>47</v>
      </c>
      <c r="F10" s="140" t="s">
        <v>47</v>
      </c>
      <c r="G10" s="140" t="s">
        <v>47</v>
      </c>
      <c r="H10" s="129" t="s">
        <v>47</v>
      </c>
      <c r="I10" s="141" t="s">
        <v>47</v>
      </c>
      <c r="J10" s="129" t="s">
        <v>47</v>
      </c>
      <c r="K10" s="141" t="s">
        <v>47</v>
      </c>
      <c r="L10" s="130" t="s">
        <v>47</v>
      </c>
      <c r="M10" s="140" t="s">
        <v>47</v>
      </c>
      <c r="N10" s="129" t="s">
        <v>47</v>
      </c>
      <c r="O10" s="129" t="s">
        <v>47</v>
      </c>
      <c r="P10" s="144">
        <v>13.09</v>
      </c>
      <c r="Q10" s="141">
        <f t="shared" si="0"/>
        <v>0</v>
      </c>
      <c r="R10" s="145">
        <f>Q10*(1-C10)</f>
        <v>0</v>
      </c>
      <c r="S10" s="146">
        <f>+R10*'Notes and Look Up'!$B$18</f>
        <v>0</v>
      </c>
      <c r="T10" s="144">
        <v>4.6900000000000004</v>
      </c>
      <c r="U10" s="141">
        <f t="shared" si="2"/>
        <v>0</v>
      </c>
      <c r="V10" s="147">
        <f>+U10*'Notes and Look Up'!$B$18</f>
        <v>0</v>
      </c>
      <c r="W10" s="54"/>
    </row>
    <row r="11" spans="1:26" ht="15.75" customHeight="1" x14ac:dyDescent="0.3">
      <c r="A11" s="149" t="s">
        <v>18</v>
      </c>
      <c r="B11" s="360" t="s">
        <v>28</v>
      </c>
      <c r="C11" s="150">
        <f>VLOOKUP(B11,'Notes and Look Up'!$A$1:$B$11,2,0)</f>
        <v>0.4</v>
      </c>
      <c r="D11" s="151"/>
      <c r="E11" s="152">
        <v>0.45</v>
      </c>
      <c r="F11" s="152">
        <v>7.0000000000000007E-2</v>
      </c>
      <c r="G11" s="152">
        <f>F11*'Notes and Look Up'!$B$21</f>
        <v>0.16030000000000003</v>
      </c>
      <c r="H11" s="153">
        <v>45</v>
      </c>
      <c r="I11" s="154">
        <f>H11/'Notes and Look Up'!$B$18</f>
        <v>20.411866098158395</v>
      </c>
      <c r="J11" s="153">
        <v>100</v>
      </c>
      <c r="K11" s="154">
        <f>J11/'Notes and Look Up'!$B$18</f>
        <v>45.359702440351988</v>
      </c>
      <c r="L11" s="155">
        <f>AVERAGE(H11,J11)</f>
        <v>72.5</v>
      </c>
      <c r="M11" s="156">
        <f t="shared" si="4"/>
        <v>32.88578426925519</v>
      </c>
      <c r="N11" s="153">
        <v>365</v>
      </c>
      <c r="O11" s="153">
        <v>1</v>
      </c>
      <c r="P11" s="157">
        <f t="shared" si="5"/>
        <v>5.4014900662251648</v>
      </c>
      <c r="Q11" s="154">
        <f t="shared" si="0"/>
        <v>0</v>
      </c>
      <c r="R11" s="158">
        <f>Q11*(1-C11)</f>
        <v>0</v>
      </c>
      <c r="S11" s="288">
        <f>+R11*'Notes and Look Up'!$B$18</f>
        <v>0</v>
      </c>
      <c r="T11" s="157">
        <f t="shared" si="6"/>
        <v>1.9241307947019868</v>
      </c>
      <c r="U11" s="154">
        <f t="shared" si="2"/>
        <v>0</v>
      </c>
      <c r="V11" s="169">
        <f>+U11*'Notes and Look Up'!$B$18</f>
        <v>0</v>
      </c>
      <c r="W11" s="54"/>
    </row>
  </sheetData>
  <sheetProtection password="DD31" sheet="1" objects="1" scenarios="1"/>
  <protectedRanges>
    <protectedRange sqref="B2" name="Operation Name"/>
    <protectedRange sqref="O5:O9 O11" name="Cycles per Year"/>
    <protectedRange sqref="N5:N9 N11" name="Days on Feed"/>
    <protectedRange sqref="J5:J9 J11" name="Weight Out"/>
    <protectedRange sqref="H5:H9 H11" name="Weight In"/>
    <protectedRange sqref="D5:D11" name="Animal Numbers"/>
    <protectedRange sqref="B5:B11" name="Storage Type"/>
  </protectedRanges>
  <dataValidations count="1">
    <dataValidation type="list" allowBlank="1" showInputMessage="1" showErrorMessage="1" sqref="B9" xr:uid="{00000000-0002-0000-0400-000000000000}">
      <formula1>Storages</formula1>
    </dataValidation>
  </dataValidations>
  <pageMargins left="0.7" right="0.7" top="0.75" bottom="0.75" header="0.3" footer="0.3"/>
  <pageSetup orientation="portrait" r:id="rId1"/>
  <ignoredErrors>
    <ignoredError sqref="C10:C11 C6:C8"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'Notes and Look Up'!$A$2:$A$11</xm:f>
          </x14:formula1>
          <xm:sqref>B5:B8 B10:B11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H31"/>
  <sheetViews>
    <sheetView workbookViewId="0">
      <pane xSplit="2" topLeftCell="D1" activePane="topRight" state="frozenSplit"/>
      <selection activeCell="H23" sqref="H23"/>
      <selection pane="topRight" activeCell="E10" sqref="E10"/>
    </sheetView>
  </sheetViews>
  <sheetFormatPr defaultColWidth="9.15234375" defaultRowHeight="12.45" x14ac:dyDescent="0.3"/>
  <cols>
    <col min="1" max="1" width="18.53515625" style="2" customWidth="1"/>
    <col min="2" max="2" width="31" style="2" bestFit="1" customWidth="1"/>
    <col min="3" max="3" width="28.69140625" style="2" customWidth="1"/>
    <col min="4" max="4" width="12.84375" style="2" bestFit="1" customWidth="1"/>
    <col min="5" max="5" width="10.53515625" style="2" bestFit="1" customWidth="1"/>
    <col min="6" max="6" width="9.53515625" style="2" bestFit="1" customWidth="1"/>
    <col min="7" max="7" width="11.15234375" style="2" bestFit="1" customWidth="1"/>
    <col min="8" max="8" width="8.3046875" style="2" hidden="1" customWidth="1"/>
    <col min="9" max="10" width="9.15234375" style="2" hidden="1" customWidth="1"/>
    <col min="11" max="11" width="9.15234375" style="2" customWidth="1"/>
    <col min="12" max="12" width="9.15234375" style="2" hidden="1" customWidth="1"/>
    <col min="13" max="13" width="9.15234375" style="2"/>
    <col min="14" max="14" width="10.69140625" style="2" hidden="1" customWidth="1"/>
    <col min="15" max="15" width="13.69140625" style="5" hidden="1" customWidth="1"/>
    <col min="16" max="17" width="11.15234375" style="2" hidden="1" customWidth="1"/>
    <col min="18" max="18" width="17" style="2" hidden="1" customWidth="1"/>
    <col min="19" max="19" width="13.3828125" style="10" hidden="1" customWidth="1"/>
    <col min="20" max="20" width="20" style="2" hidden="1" customWidth="1"/>
    <col min="21" max="21" width="22.3828125" style="2" hidden="1" customWidth="1"/>
    <col min="22" max="22" width="13.15234375" style="2" hidden="1" customWidth="1"/>
    <col min="23" max="23" width="11.15234375" style="2" hidden="1" customWidth="1"/>
    <col min="24" max="24" width="9" style="3" hidden="1" customWidth="1"/>
    <col min="25" max="25" width="10.53515625" style="2" hidden="1" customWidth="1"/>
    <col min="26" max="29" width="9.15234375" style="2" hidden="1" customWidth="1"/>
    <col min="30" max="30" width="13.3046875" style="2" hidden="1" customWidth="1"/>
    <col min="31" max="31" width="10.53515625" style="2" hidden="1" customWidth="1"/>
    <col min="32" max="32" width="9.15234375" style="2" hidden="1" customWidth="1"/>
    <col min="33" max="33" width="16.69140625" style="2" hidden="1" customWidth="1"/>
    <col min="34" max="36" width="9.15234375" style="2" hidden="1" customWidth="1"/>
    <col min="37" max="37" width="12.15234375" style="2" hidden="1" customWidth="1"/>
    <col min="38" max="38" width="10" style="2" customWidth="1"/>
    <col min="39" max="39" width="12" style="2" hidden="1" customWidth="1"/>
    <col min="40" max="40" width="14" style="2" hidden="1" customWidth="1"/>
    <col min="41" max="42" width="9.15234375" style="2" hidden="1" customWidth="1"/>
    <col min="43" max="43" width="12.53515625" style="2" hidden="1" customWidth="1"/>
    <col min="44" max="44" width="10.69140625" style="2" hidden="1" customWidth="1"/>
    <col min="45" max="45" width="11.69140625" style="2" hidden="1" customWidth="1"/>
    <col min="46" max="47" width="9.15234375" style="2" hidden="1" customWidth="1"/>
    <col min="48" max="48" width="14.3046875" style="2" hidden="1" customWidth="1"/>
    <col min="49" max="49" width="12.15234375" style="2" hidden="1" customWidth="1"/>
    <col min="50" max="51" width="9.15234375" style="2" hidden="1" customWidth="1"/>
    <col min="52" max="52" width="10.53515625" style="2" hidden="1" customWidth="1"/>
    <col min="53" max="53" width="14.15234375" style="2" hidden="1" customWidth="1"/>
    <col min="54" max="54" width="14.69140625" style="2" hidden="1" customWidth="1"/>
    <col min="55" max="55" width="14.15234375" style="2" hidden="1" customWidth="1"/>
    <col min="56" max="56" width="9.3046875" style="2" hidden="1" customWidth="1"/>
    <col min="57" max="58" width="9.15234375" style="2" hidden="1" customWidth="1"/>
    <col min="59" max="59" width="11.15234375" style="2" hidden="1" customWidth="1"/>
    <col min="60" max="16384" width="9.15234375" style="2"/>
  </cols>
  <sheetData>
    <row r="1" spans="1:60" ht="12.9" thickBot="1" x14ac:dyDescent="0.35">
      <c r="A1" s="294" t="s">
        <v>307</v>
      </c>
      <c r="B1" s="15"/>
      <c r="C1" s="15"/>
      <c r="D1" s="15"/>
      <c r="E1" s="15"/>
      <c r="F1" s="15"/>
      <c r="G1" s="15"/>
      <c r="H1" s="15"/>
      <c r="I1" s="15"/>
      <c r="J1" s="15"/>
      <c r="K1" s="15"/>
      <c r="L1" s="15"/>
      <c r="M1" s="15"/>
      <c r="N1" s="15"/>
      <c r="O1" s="292"/>
      <c r="P1" s="15"/>
      <c r="Q1" s="15"/>
      <c r="R1" s="15"/>
      <c r="S1" s="39"/>
      <c r="T1" s="15"/>
      <c r="U1" s="15"/>
      <c r="V1" s="15"/>
      <c r="W1" s="15"/>
      <c r="AL1" s="15"/>
      <c r="AM1" s="15"/>
      <c r="AN1" s="15"/>
      <c r="AO1" s="15"/>
      <c r="AP1" s="15"/>
      <c r="AQ1" s="15"/>
      <c r="AR1" s="15"/>
      <c r="AS1" s="15"/>
      <c r="AT1" s="15"/>
      <c r="AU1" s="15"/>
      <c r="AV1" s="15"/>
      <c r="AW1" s="15"/>
      <c r="AX1" s="15"/>
      <c r="AY1" s="15"/>
      <c r="AZ1" s="15"/>
      <c r="BA1" s="15"/>
      <c r="BB1" s="15"/>
      <c r="BC1" s="15"/>
      <c r="BD1" s="15"/>
      <c r="BE1" s="15"/>
      <c r="BF1" s="15"/>
      <c r="BG1" s="15"/>
      <c r="BH1" s="15"/>
    </row>
    <row r="2" spans="1:60" ht="12.9" thickBot="1" x14ac:dyDescent="0.35">
      <c r="A2" s="294" t="s">
        <v>304</v>
      </c>
      <c r="B2" s="375" t="s">
        <v>449</v>
      </c>
      <c r="C2" s="15"/>
      <c r="D2" s="15"/>
      <c r="E2" s="15"/>
      <c r="F2" s="24"/>
      <c r="G2" s="24"/>
      <c r="H2" s="24"/>
      <c r="I2" s="24"/>
      <c r="J2" s="24"/>
      <c r="K2" s="24"/>
      <c r="L2" s="24"/>
      <c r="M2" s="24"/>
      <c r="N2" s="15"/>
      <c r="O2" s="292"/>
      <c r="P2" s="15"/>
      <c r="Q2" s="15"/>
      <c r="R2" s="15"/>
      <c r="S2" s="39"/>
      <c r="T2" s="15"/>
      <c r="U2" s="15"/>
      <c r="V2" s="15"/>
      <c r="W2" s="15"/>
      <c r="AL2" s="15"/>
      <c r="AM2" s="15"/>
      <c r="AN2" s="15"/>
      <c r="AO2" s="15"/>
      <c r="AP2" s="15"/>
      <c r="AQ2" s="15"/>
      <c r="AR2" s="15"/>
      <c r="AS2" s="15"/>
      <c r="AT2" s="15"/>
      <c r="AU2" s="15"/>
      <c r="AV2" s="15"/>
      <c r="AW2" s="15"/>
      <c r="AX2" s="15"/>
      <c r="AY2" s="15"/>
      <c r="AZ2" s="15"/>
      <c r="BA2" s="15"/>
      <c r="BB2" s="15"/>
      <c r="BC2" s="15"/>
      <c r="BD2" s="15"/>
      <c r="BE2" s="15"/>
      <c r="BF2" s="15"/>
      <c r="BG2" s="15"/>
      <c r="BH2" s="15"/>
    </row>
    <row r="3" spans="1:60" s="18" customFormat="1" ht="96.75" customHeight="1" x14ac:dyDescent="0.3">
      <c r="A3" s="29" t="s">
        <v>91</v>
      </c>
      <c r="B3" s="299" t="s">
        <v>92</v>
      </c>
      <c r="C3" s="19" t="s">
        <v>9</v>
      </c>
      <c r="D3" s="20" t="s">
        <v>145</v>
      </c>
      <c r="E3" s="19" t="s">
        <v>164</v>
      </c>
      <c r="F3" s="299" t="s">
        <v>445</v>
      </c>
      <c r="G3" s="299" t="s">
        <v>446</v>
      </c>
      <c r="H3" s="299" t="s">
        <v>89</v>
      </c>
      <c r="I3" s="299" t="s">
        <v>348</v>
      </c>
      <c r="J3" s="299" t="s">
        <v>349</v>
      </c>
      <c r="K3" s="298" t="s">
        <v>350</v>
      </c>
      <c r="L3" s="298" t="s">
        <v>351</v>
      </c>
      <c r="M3" s="298" t="s">
        <v>352</v>
      </c>
      <c r="N3" s="21" t="s">
        <v>93</v>
      </c>
      <c r="O3" s="21" t="s">
        <v>94</v>
      </c>
      <c r="P3" s="33" t="s">
        <v>353</v>
      </c>
      <c r="Q3" s="33" t="s">
        <v>354</v>
      </c>
      <c r="R3" s="33" t="s">
        <v>355</v>
      </c>
      <c r="S3" s="34" t="s">
        <v>236</v>
      </c>
      <c r="T3" s="34" t="s">
        <v>356</v>
      </c>
      <c r="U3" s="34" t="s">
        <v>238</v>
      </c>
      <c r="V3" s="34" t="s">
        <v>235</v>
      </c>
      <c r="W3" s="21" t="s">
        <v>232</v>
      </c>
      <c r="X3" s="33" t="s">
        <v>247</v>
      </c>
      <c r="Y3" s="33" t="s">
        <v>357</v>
      </c>
      <c r="Z3" s="33" t="s">
        <v>358</v>
      </c>
      <c r="AA3" s="33" t="s">
        <v>359</v>
      </c>
      <c r="AB3" s="33" t="s">
        <v>241</v>
      </c>
      <c r="AC3" s="33" t="s">
        <v>241</v>
      </c>
      <c r="AD3" s="33" t="s">
        <v>195</v>
      </c>
      <c r="AE3" s="34" t="s">
        <v>196</v>
      </c>
      <c r="AF3" s="34" t="s">
        <v>275</v>
      </c>
      <c r="AG3" s="33" t="s">
        <v>63</v>
      </c>
      <c r="AH3" s="33" t="s">
        <v>248</v>
      </c>
      <c r="AI3" s="33" t="s">
        <v>360</v>
      </c>
      <c r="AJ3" s="33" t="s">
        <v>86</v>
      </c>
      <c r="AK3" s="34" t="s">
        <v>160</v>
      </c>
      <c r="AL3" s="102" t="s">
        <v>160</v>
      </c>
      <c r="AM3" s="21" t="s">
        <v>361</v>
      </c>
      <c r="AN3" s="34" t="s">
        <v>249</v>
      </c>
      <c r="AO3" s="34" t="s">
        <v>249</v>
      </c>
      <c r="AP3" s="34" t="s">
        <v>279</v>
      </c>
      <c r="AQ3" s="33" t="s">
        <v>252</v>
      </c>
      <c r="AR3" s="33" t="s">
        <v>253</v>
      </c>
      <c r="AS3" s="33" t="s">
        <v>362</v>
      </c>
      <c r="AT3" s="33" t="s">
        <v>363</v>
      </c>
      <c r="AU3" s="33" t="s">
        <v>256</v>
      </c>
      <c r="AV3" s="33" t="s">
        <v>257</v>
      </c>
      <c r="AW3" s="207" t="s">
        <v>206</v>
      </c>
      <c r="AX3" s="34" t="s">
        <v>280</v>
      </c>
      <c r="AY3" s="34" t="s">
        <v>259</v>
      </c>
      <c r="AZ3" s="34" t="s">
        <v>364</v>
      </c>
      <c r="BA3" s="34" t="s">
        <v>64</v>
      </c>
      <c r="BB3" s="33" t="s">
        <v>365</v>
      </c>
      <c r="BC3" s="33" t="s">
        <v>258</v>
      </c>
      <c r="BD3" s="34" t="s">
        <v>366</v>
      </c>
      <c r="BE3" s="33" t="s">
        <v>87</v>
      </c>
      <c r="BF3" s="33" t="s">
        <v>90</v>
      </c>
      <c r="BG3" s="33" t="s">
        <v>88</v>
      </c>
      <c r="BH3" s="103" t="s">
        <v>161</v>
      </c>
    </row>
    <row r="4" spans="1:60" s="7" customFormat="1" ht="15" customHeight="1" x14ac:dyDescent="0.3">
      <c r="A4" s="30"/>
      <c r="B4" s="27"/>
      <c r="C4" s="25"/>
      <c r="D4" s="26"/>
      <c r="E4" s="25"/>
      <c r="F4" s="27" t="s">
        <v>141</v>
      </c>
      <c r="G4" s="27" t="s">
        <v>141</v>
      </c>
      <c r="H4" s="209"/>
      <c r="I4" s="209"/>
      <c r="J4" s="209"/>
      <c r="K4" s="25"/>
      <c r="L4" s="210"/>
      <c r="M4" s="25"/>
      <c r="N4" s="27"/>
      <c r="O4" s="237"/>
      <c r="P4" s="367" t="s">
        <v>53</v>
      </c>
      <c r="Q4" s="330" t="s">
        <v>55</v>
      </c>
      <c r="R4" s="213" t="s">
        <v>367</v>
      </c>
      <c r="S4" s="214" t="s">
        <v>208</v>
      </c>
      <c r="T4" s="214" t="s">
        <v>209</v>
      </c>
      <c r="U4" s="214" t="s">
        <v>209</v>
      </c>
      <c r="V4" s="214" t="s">
        <v>53</v>
      </c>
      <c r="W4" s="305" t="s">
        <v>210</v>
      </c>
      <c r="X4" s="218" t="s">
        <v>209</v>
      </c>
      <c r="Y4" s="218"/>
      <c r="Z4" s="218" t="s">
        <v>368</v>
      </c>
      <c r="AA4" s="218" t="s">
        <v>209</v>
      </c>
      <c r="AB4" s="218" t="s">
        <v>231</v>
      </c>
      <c r="AC4" s="218" t="s">
        <v>226</v>
      </c>
      <c r="AD4" s="214" t="s">
        <v>31</v>
      </c>
      <c r="AE4" s="214" t="s">
        <v>31</v>
      </c>
      <c r="AF4" s="214" t="s">
        <v>53</v>
      </c>
      <c r="AG4" s="213" t="s">
        <v>211</v>
      </c>
      <c r="AH4" s="31" t="s">
        <v>50</v>
      </c>
      <c r="AI4" s="31" t="s">
        <v>50</v>
      </c>
      <c r="AJ4" s="330" t="s">
        <v>369</v>
      </c>
      <c r="AK4" s="32" t="s">
        <v>370</v>
      </c>
      <c r="AL4" s="56" t="s">
        <v>154</v>
      </c>
      <c r="AM4" s="236" t="s">
        <v>31</v>
      </c>
      <c r="AN4" s="214" t="s">
        <v>55</v>
      </c>
      <c r="AO4" s="214" t="s">
        <v>208</v>
      </c>
      <c r="AP4" s="214" t="s">
        <v>53</v>
      </c>
      <c r="AQ4" s="214" t="s">
        <v>210</v>
      </c>
      <c r="AR4" s="214" t="s">
        <v>209</v>
      </c>
      <c r="AS4" s="214" t="s">
        <v>368</v>
      </c>
      <c r="AT4" s="214" t="s">
        <v>209</v>
      </c>
      <c r="AU4" s="214" t="s">
        <v>53</v>
      </c>
      <c r="AV4" s="214" t="s">
        <v>31</v>
      </c>
      <c r="AW4" s="214" t="s">
        <v>31</v>
      </c>
      <c r="AX4" s="214" t="s">
        <v>53</v>
      </c>
      <c r="AY4" s="214" t="s">
        <v>55</v>
      </c>
      <c r="AZ4" s="32"/>
      <c r="BA4" s="32"/>
      <c r="BB4" s="214" t="s">
        <v>69</v>
      </c>
      <c r="BC4" s="214" t="s">
        <v>70</v>
      </c>
      <c r="BD4" s="31" t="s">
        <v>50</v>
      </c>
      <c r="BE4" s="330" t="s">
        <v>369</v>
      </c>
      <c r="BF4" s="330" t="s">
        <v>369</v>
      </c>
      <c r="BG4" s="330"/>
      <c r="BH4" s="28" t="s">
        <v>154</v>
      </c>
    </row>
    <row r="5" spans="1:60" ht="15" customHeight="1" x14ac:dyDescent="0.3">
      <c r="A5" s="60" t="s">
        <v>26</v>
      </c>
      <c r="B5" s="237" t="s">
        <v>371</v>
      </c>
      <c r="C5" s="58" t="s">
        <v>399</v>
      </c>
      <c r="D5" s="37">
        <f>VLOOKUP(C5,'Notes and Look Up'!$A$1:$B$12,2,)</f>
        <v>0.2</v>
      </c>
      <c r="E5" s="329"/>
      <c r="F5" s="237">
        <v>4.2999999999999997E-2</v>
      </c>
      <c r="G5" s="237">
        <v>1.8</v>
      </c>
      <c r="H5" s="16">
        <f>(F5+G5)/2</f>
        <v>0.92149999999999999</v>
      </c>
      <c r="I5" s="16">
        <f>G5-F5</f>
        <v>1.7570000000000001</v>
      </c>
      <c r="J5" s="237">
        <v>30</v>
      </c>
      <c r="K5" s="329">
        <v>30</v>
      </c>
      <c r="L5" s="329">
        <v>7</v>
      </c>
      <c r="M5" s="329">
        <v>7</v>
      </c>
      <c r="N5" s="15">
        <f>K5*M5</f>
        <v>210</v>
      </c>
      <c r="O5" s="368">
        <f>365-N5</f>
        <v>155</v>
      </c>
      <c r="P5" s="369">
        <v>2.61</v>
      </c>
      <c r="Q5" s="336">
        <f>P5/K5</f>
        <v>8.6999999999999994E-2</v>
      </c>
      <c r="R5" s="361">
        <v>0.21099999999999999</v>
      </c>
      <c r="S5" s="14">
        <f>(R5)*(Q5*1000)</f>
        <v>18.356999999999999</v>
      </c>
      <c r="T5" s="238">
        <f>S5*K5</f>
        <v>550.71</v>
      </c>
      <c r="U5" s="238">
        <f>T5/'Notes and Look Up'!$A$24</f>
        <v>88.113600000000005</v>
      </c>
      <c r="V5" s="336">
        <f>U5/1000</f>
        <v>8.81136E-2</v>
      </c>
      <c r="W5" s="15">
        <v>26</v>
      </c>
      <c r="X5" s="14">
        <f>I5*W5</f>
        <v>45.682000000000002</v>
      </c>
      <c r="Y5" s="345"/>
      <c r="Z5" s="345"/>
      <c r="AA5" s="345"/>
      <c r="AB5" s="14">
        <f>X5-AA5</f>
        <v>45.682000000000002</v>
      </c>
      <c r="AC5" s="14">
        <f>AB5/1000</f>
        <v>4.5682E-2</v>
      </c>
      <c r="AD5" s="14">
        <f>(AC5/V5)*100</f>
        <v>51.844437181093497</v>
      </c>
      <c r="AE5" s="14">
        <f>100-AD5</f>
        <v>48.155562818906503</v>
      </c>
      <c r="AF5" s="336">
        <f>V5*(AE5/100)</f>
        <v>4.24316E-2</v>
      </c>
      <c r="AG5" s="224">
        <f>(AF5/K5/H5)*1000</f>
        <v>1.5348742991499367</v>
      </c>
      <c r="AH5" s="336">
        <f>AF5*M5</f>
        <v>0.29702119999999999</v>
      </c>
      <c r="AI5" s="238">
        <f>AH5*E5</f>
        <v>0</v>
      </c>
      <c r="AJ5" s="223">
        <f>0.96</f>
        <v>0.96</v>
      </c>
      <c r="AK5" s="337">
        <f>(1-(VLOOKUP(C5,'Notes and Look Up'!$A$2:$B$12,2,0)))*AI5</f>
        <v>0</v>
      </c>
      <c r="AL5" s="8">
        <f>AK5*'Notes and Look Up'!$B$18</f>
        <v>0</v>
      </c>
      <c r="AM5" s="362">
        <v>5.4000000000000003E-3</v>
      </c>
      <c r="AN5" s="338">
        <f>(AM5*Q5)</f>
        <v>4.6979999999999998E-4</v>
      </c>
      <c r="AO5" s="332">
        <f>AN5*1000</f>
        <v>0.4698</v>
      </c>
      <c r="AP5" s="223">
        <f>AN5*K5</f>
        <v>1.4093999999999999E-2</v>
      </c>
      <c r="AQ5" s="224">
        <v>4</v>
      </c>
      <c r="AR5" s="223">
        <f>I5*AQ5</f>
        <v>7.0280000000000005</v>
      </c>
      <c r="AS5" s="223"/>
      <c r="AT5" s="223"/>
      <c r="AU5" s="223">
        <f>(AR5-AT5)/1000</f>
        <v>7.0280000000000004E-3</v>
      </c>
      <c r="AV5" s="333">
        <f>AU5/AP5</f>
        <v>0.49865190861359449</v>
      </c>
      <c r="AW5" s="333">
        <f>1-AV5</f>
        <v>0.50134809138640546</v>
      </c>
      <c r="AX5" s="223">
        <f>AP5*AW5</f>
        <v>7.0659999999999976E-3</v>
      </c>
      <c r="AY5" s="223">
        <f>AX5/K5</f>
        <v>2.3553333333333325E-4</v>
      </c>
      <c r="AZ5" s="14">
        <f>(AX5/K5/H5)*1000</f>
        <v>0.25559775727979733</v>
      </c>
      <c r="BA5" s="14">
        <f>AZ5*'Notes and Look Up'!$B$21</f>
        <v>0.58531886417073586</v>
      </c>
      <c r="BB5" s="223">
        <f>AX5*'Notes and Look Up'!$B$21</f>
        <v>1.6181139999999993E-2</v>
      </c>
      <c r="BC5" s="223">
        <f>BB5*M5</f>
        <v>0.11326797999999995</v>
      </c>
      <c r="BD5" s="223">
        <f>BC5*E5</f>
        <v>0</v>
      </c>
      <c r="BE5" s="14">
        <v>0.28000000000000003</v>
      </c>
      <c r="BF5" s="14">
        <f>BE5*'Notes and Look Up'!$B$21</f>
        <v>0.6412000000000001</v>
      </c>
      <c r="BG5" s="238">
        <f>BF5/1000*H5*N5*E5</f>
        <v>0</v>
      </c>
      <c r="BH5" s="35">
        <f>BD5*'Notes and Look Up'!$B$18</f>
        <v>0</v>
      </c>
    </row>
    <row r="6" spans="1:60" ht="15" customHeight="1" x14ac:dyDescent="0.3">
      <c r="A6" s="60" t="s">
        <v>26</v>
      </c>
      <c r="B6" s="39" t="s">
        <v>23</v>
      </c>
      <c r="C6" s="58" t="s">
        <v>399</v>
      </c>
      <c r="D6" s="37">
        <f>VLOOKUP(C6,'Notes and Look Up'!$A$1:$B$12,2,)</f>
        <v>0.2</v>
      </c>
      <c r="E6" s="4"/>
      <c r="F6" s="379">
        <v>4.2500000000000003E-2</v>
      </c>
      <c r="G6" s="379">
        <v>2.2749999999999999</v>
      </c>
      <c r="H6" s="16">
        <f>(F6+G6)/2</f>
        <v>1.1587499999999999</v>
      </c>
      <c r="I6" s="16">
        <f>G6-F6</f>
        <v>2.2324999999999999</v>
      </c>
      <c r="J6" s="237">
        <v>35</v>
      </c>
      <c r="K6" s="329">
        <v>35</v>
      </c>
      <c r="L6" s="329">
        <v>7</v>
      </c>
      <c r="M6" s="329">
        <v>7</v>
      </c>
      <c r="N6" s="15">
        <f>K6*M6</f>
        <v>245</v>
      </c>
      <c r="O6" s="15">
        <f>365-N6</f>
        <v>120</v>
      </c>
      <c r="P6" s="14">
        <v>3.4750000000000001</v>
      </c>
      <c r="Q6" s="336">
        <f>P6/K6</f>
        <v>9.9285714285714283E-2</v>
      </c>
      <c r="R6" s="40">
        <v>0.20599999999999999</v>
      </c>
      <c r="S6" s="14">
        <f t="shared" ref="S6:S28" si="0">(R6)*(Q6*1000)</f>
        <v>20.452857142857141</v>
      </c>
      <c r="T6" s="238">
        <f>S6*K6</f>
        <v>715.84999999999991</v>
      </c>
      <c r="U6" s="238">
        <f>T6/'Notes and Look Up'!$A$24</f>
        <v>114.53599999999999</v>
      </c>
      <c r="V6" s="336">
        <f>U6/1000</f>
        <v>0.11453599999999999</v>
      </c>
      <c r="W6" s="15">
        <v>26</v>
      </c>
      <c r="X6" s="14">
        <f>I6*W6</f>
        <v>58.045000000000002</v>
      </c>
      <c r="Y6" s="223"/>
      <c r="Z6" s="223"/>
      <c r="AA6" s="223"/>
      <c r="AB6" s="14">
        <f>X6-AA6</f>
        <v>58.045000000000002</v>
      </c>
      <c r="AC6" s="14">
        <f>AB6/1000</f>
        <v>5.8044999999999999E-2</v>
      </c>
      <c r="AD6" s="14">
        <f>(AC6/V6)*100</f>
        <v>50.678389327373061</v>
      </c>
      <c r="AE6" s="14">
        <f>100-AD6</f>
        <v>49.321610672626939</v>
      </c>
      <c r="AF6" s="336">
        <f>V6*(AE6/100)</f>
        <v>5.6490999999999979E-2</v>
      </c>
      <c r="AG6" s="224">
        <f>(AF6/K6/H6)*1000</f>
        <v>1.3929049160117117</v>
      </c>
      <c r="AH6" s="336">
        <f>AF6*M6</f>
        <v>0.39543699999999987</v>
      </c>
      <c r="AI6" s="238">
        <f>AH6*E6</f>
        <v>0</v>
      </c>
      <c r="AJ6" s="223">
        <f>0.96</f>
        <v>0.96</v>
      </c>
      <c r="AK6" s="337">
        <f>(1-(VLOOKUP(C6,'Notes and Look Up'!$A$2:$B$12,2,0)))*AI6</f>
        <v>0</v>
      </c>
      <c r="AL6" s="8">
        <f>AK6*'Notes and Look Up'!$B$18</f>
        <v>0</v>
      </c>
      <c r="AM6" s="363">
        <v>5.4000000000000003E-3</v>
      </c>
      <c r="AN6" s="338">
        <f>(AM6*Q6)</f>
        <v>5.361428571428571E-4</v>
      </c>
      <c r="AO6" s="332">
        <f>AN6*1000</f>
        <v>0.53614285714285714</v>
      </c>
      <c r="AP6" s="223">
        <f>AN6*K6</f>
        <v>1.8764999999999997E-2</v>
      </c>
      <c r="AQ6" s="224">
        <v>4</v>
      </c>
      <c r="AR6" s="223">
        <f>I6*AQ6</f>
        <v>8.93</v>
      </c>
      <c r="AS6" s="223"/>
      <c r="AT6" s="223"/>
      <c r="AU6" s="223">
        <f>(AR6-AT6)/1000</f>
        <v>8.9300000000000004E-3</v>
      </c>
      <c r="AV6" s="333">
        <f>AU6/AP6</f>
        <v>0.47588595790034649</v>
      </c>
      <c r="AW6" s="333">
        <f>1-AV6</f>
        <v>0.52411404209965351</v>
      </c>
      <c r="AX6" s="223">
        <f>AP6*AW6</f>
        <v>9.8349999999999965E-3</v>
      </c>
      <c r="AY6" s="223">
        <f>AX6/K6</f>
        <v>2.8099999999999989E-4</v>
      </c>
      <c r="AZ6" s="14">
        <f>(AX6/K6/H6)*1000</f>
        <v>0.24250269687162884</v>
      </c>
      <c r="BA6" s="14">
        <f>AZ6*'Notes and Look Up'!$B$21</f>
        <v>0.55533117583603009</v>
      </c>
      <c r="BB6" s="223">
        <f>AX6*'Notes and Look Up'!$B$21</f>
        <v>2.2522149999999991E-2</v>
      </c>
      <c r="BC6" s="223">
        <f>BB6*M6</f>
        <v>0.15765504999999994</v>
      </c>
      <c r="BD6" s="223">
        <f>BC6*E6</f>
        <v>0</v>
      </c>
      <c r="BE6" s="14">
        <v>0.28000000000000003</v>
      </c>
      <c r="BF6" s="14">
        <f>BE6*'Notes and Look Up'!$B$21</f>
        <v>0.6412000000000001</v>
      </c>
      <c r="BG6" s="238">
        <f>BF6/1000*H6*N6*E6</f>
        <v>0</v>
      </c>
      <c r="BH6" s="35">
        <f>BD6*'Notes and Look Up'!$B$18</f>
        <v>0</v>
      </c>
    </row>
    <row r="7" spans="1:60" ht="15" customHeight="1" x14ac:dyDescent="0.3">
      <c r="A7" s="60" t="s">
        <v>26</v>
      </c>
      <c r="B7" s="15" t="s">
        <v>24</v>
      </c>
      <c r="C7" s="58" t="s">
        <v>399</v>
      </c>
      <c r="D7" s="37">
        <f>VLOOKUP(C7,'Notes and Look Up'!$A$1:$B$12,2,)</f>
        <v>0.2</v>
      </c>
      <c r="E7" s="4"/>
      <c r="F7" s="379">
        <v>0.04</v>
      </c>
      <c r="G7" s="379">
        <v>2.9750000000000001</v>
      </c>
      <c r="H7" s="16">
        <f t="shared" ref="H7:H28" si="1">(F7+G7)/2</f>
        <v>1.5075000000000001</v>
      </c>
      <c r="I7" s="16">
        <f>G7-F7</f>
        <v>2.9350000000000001</v>
      </c>
      <c r="J7" s="237">
        <v>168</v>
      </c>
      <c r="K7" s="329">
        <v>168</v>
      </c>
      <c r="L7" s="329">
        <v>2</v>
      </c>
      <c r="M7" s="329">
        <v>2</v>
      </c>
      <c r="N7" s="15">
        <f>K7*M7</f>
        <v>336</v>
      </c>
      <c r="O7" s="15">
        <f t="shared" ref="O7:O8" si="2">365-N7</f>
        <v>29</v>
      </c>
      <c r="P7" s="14">
        <v>12.7</v>
      </c>
      <c r="Q7" s="336">
        <f>P7/K7</f>
        <v>7.559523809523809E-2</v>
      </c>
      <c r="R7" s="40">
        <v>0.1535</v>
      </c>
      <c r="S7" s="14">
        <f t="shared" si="0"/>
        <v>11.603869047619046</v>
      </c>
      <c r="T7" s="238">
        <f>S7*K7</f>
        <v>1949.4499999999998</v>
      </c>
      <c r="U7" s="238">
        <f>T7/'Notes and Look Up'!$A$24</f>
        <v>311.91199999999998</v>
      </c>
      <c r="V7" s="336">
        <f>U7/1000</f>
        <v>0.31191199999999997</v>
      </c>
      <c r="W7" s="15">
        <v>26</v>
      </c>
      <c r="X7" s="14">
        <f>I7*W7</f>
        <v>76.31</v>
      </c>
      <c r="Y7" s="223"/>
      <c r="Z7" s="223"/>
      <c r="AA7" s="223"/>
      <c r="AB7" s="14">
        <f>X7-AA7</f>
        <v>76.31</v>
      </c>
      <c r="AC7" s="14">
        <f>AB7/1000</f>
        <v>7.6310000000000003E-2</v>
      </c>
      <c r="AD7" s="14">
        <f>(AC7/V7)*100</f>
        <v>24.465233783887765</v>
      </c>
      <c r="AE7" s="14">
        <f>100-AD7</f>
        <v>75.534766216112232</v>
      </c>
      <c r="AF7" s="336">
        <f>V7*(AE7/100)</f>
        <v>0.23560199999999998</v>
      </c>
      <c r="AG7" s="224">
        <f>(AF7/K7/H7)*1000</f>
        <v>0.93027718550106597</v>
      </c>
      <c r="AH7" s="336">
        <f>AF7*M7</f>
        <v>0.47120399999999996</v>
      </c>
      <c r="AI7" s="238">
        <f>AH7*E7</f>
        <v>0</v>
      </c>
      <c r="AJ7" s="223">
        <f t="shared" ref="AJ7:AJ8" si="3">0.96</f>
        <v>0.96</v>
      </c>
      <c r="AK7" s="337">
        <f>(1-(VLOOKUP(C7,'Notes and Look Up'!$A$2:$B$12,2,0)))*AI7</f>
        <v>0</v>
      </c>
      <c r="AL7" s="8">
        <f>AK7*'Notes and Look Up'!$B$18</f>
        <v>0</v>
      </c>
      <c r="AM7" s="363">
        <v>5.4999999999999997E-3</v>
      </c>
      <c r="AN7" s="338">
        <f>(AM7*Q7)</f>
        <v>4.1577380952380946E-4</v>
      </c>
      <c r="AO7" s="332">
        <f>AN7*1000</f>
        <v>0.41577380952380943</v>
      </c>
      <c r="AP7" s="223">
        <f>AN7*K7</f>
        <v>6.9849999999999995E-2</v>
      </c>
      <c r="AQ7" s="224">
        <v>4</v>
      </c>
      <c r="AR7" s="223">
        <f>I7*AQ7</f>
        <v>11.74</v>
      </c>
      <c r="AS7" s="223"/>
      <c r="AT7" s="223"/>
      <c r="AU7" s="223">
        <f>(AR7-AT7)/1000</f>
        <v>1.174E-2</v>
      </c>
      <c r="AV7" s="333">
        <f>AU7/AP7</f>
        <v>0.16807444523979959</v>
      </c>
      <c r="AW7" s="333">
        <f>1-AV7</f>
        <v>0.83192555476020047</v>
      </c>
      <c r="AX7" s="223">
        <f>AP7*AW7</f>
        <v>5.8110000000000002E-2</v>
      </c>
      <c r="AY7" s="223">
        <f>AX7/K7</f>
        <v>3.4589285714285717E-4</v>
      </c>
      <c r="AZ7" s="14">
        <f>(AX7/K7/H7)*1000</f>
        <v>0.22944799810471453</v>
      </c>
      <c r="BA7" s="14">
        <f>AZ7*'Notes and Look Up'!$B$21</f>
        <v>0.5254359156597963</v>
      </c>
      <c r="BB7" s="223">
        <f>AX7*'Notes and Look Up'!$B$21</f>
        <v>0.13307189999999999</v>
      </c>
      <c r="BC7" s="223">
        <f>BB7*M7</f>
        <v>0.26614379999999999</v>
      </c>
      <c r="BD7" s="223">
        <f>BC7*E7</f>
        <v>0</v>
      </c>
      <c r="BE7" s="14">
        <v>0.28000000000000003</v>
      </c>
      <c r="BF7" s="14">
        <f>BE7*'Notes and Look Up'!$B$21</f>
        <v>0.6412000000000001</v>
      </c>
      <c r="BG7" s="238">
        <f>BF7/1000*H7*N7*E7</f>
        <v>0</v>
      </c>
      <c r="BH7" s="35">
        <f>BD7*'Notes and Look Up'!$B$18</f>
        <v>0</v>
      </c>
    </row>
    <row r="8" spans="1:60" ht="15" customHeight="1" x14ac:dyDescent="0.3">
      <c r="A8" s="60" t="s">
        <v>26</v>
      </c>
      <c r="B8" s="39" t="s">
        <v>25</v>
      </c>
      <c r="C8" s="58" t="s">
        <v>399</v>
      </c>
      <c r="D8" s="37">
        <f>VLOOKUP(C8,'Notes and Look Up'!$A$1:$B$12,2,)</f>
        <v>0.2</v>
      </c>
      <c r="E8" s="57"/>
      <c r="F8" s="379">
        <v>2.9750000000000001</v>
      </c>
      <c r="G8" s="379">
        <v>3.95</v>
      </c>
      <c r="H8" s="16">
        <f t="shared" si="1"/>
        <v>3.4625000000000004</v>
      </c>
      <c r="I8" s="16">
        <f>G8-F8</f>
        <v>0.97500000000000009</v>
      </c>
      <c r="J8" s="15">
        <v>245</v>
      </c>
      <c r="K8" s="4">
        <v>245</v>
      </c>
      <c r="L8" s="4">
        <v>1</v>
      </c>
      <c r="M8" s="4">
        <v>1</v>
      </c>
      <c r="N8" s="15">
        <f>K8*M8</f>
        <v>245</v>
      </c>
      <c r="O8" s="15">
        <f t="shared" si="2"/>
        <v>120</v>
      </c>
      <c r="P8" s="14">
        <v>38.700000000000003</v>
      </c>
      <c r="Q8" s="336">
        <f>P8/K8</f>
        <v>0.15795918367346939</v>
      </c>
      <c r="R8" s="40">
        <v>0.14030000000000001</v>
      </c>
      <c r="S8" s="14">
        <f t="shared" si="0"/>
        <v>22.161673469387758</v>
      </c>
      <c r="T8" s="238">
        <f>S8*K8</f>
        <v>5429.6100000000006</v>
      </c>
      <c r="U8" s="238">
        <f>T8/'Notes and Look Up'!$A$24</f>
        <v>868.73760000000004</v>
      </c>
      <c r="V8" s="336">
        <f>U8/1000</f>
        <v>0.8687376</v>
      </c>
      <c r="W8" s="15">
        <v>26</v>
      </c>
      <c r="X8" s="14">
        <f>I8*W8</f>
        <v>25.35</v>
      </c>
      <c r="Y8" s="346">
        <v>153</v>
      </c>
      <c r="Z8" s="223">
        <v>1.1599999999999999</v>
      </c>
      <c r="AA8" s="224">
        <f>Y8*Z8</f>
        <v>177.48</v>
      </c>
      <c r="AB8" s="14">
        <f>X8+AA8</f>
        <v>202.82999999999998</v>
      </c>
      <c r="AC8" s="14">
        <f>AB8/1000</f>
        <v>0.20282999999999998</v>
      </c>
      <c r="AD8" s="14">
        <f>(AC8/V8)*100</f>
        <v>23.347671379712352</v>
      </c>
      <c r="AE8" s="14">
        <f>100-AD8</f>
        <v>76.652328620287648</v>
      </c>
      <c r="AF8" s="336">
        <f>V8*(AE8/100)</f>
        <v>0.66590760000000004</v>
      </c>
      <c r="AG8" s="224">
        <f>(AF8/K8/H8)*1000</f>
        <v>0.78497912031238481</v>
      </c>
      <c r="AH8" s="336">
        <f>AF8*M8</f>
        <v>0.66590760000000004</v>
      </c>
      <c r="AI8" s="238">
        <f>AH8*E8</f>
        <v>0</v>
      </c>
      <c r="AJ8" s="223">
        <f t="shared" si="3"/>
        <v>0.96</v>
      </c>
      <c r="AK8" s="337">
        <f>(1-(VLOOKUP(C8,'Notes and Look Up'!$A$2:$B$12,2,0)))*AI8</f>
        <v>0</v>
      </c>
      <c r="AL8" s="8">
        <f>AK8*'Notes and Look Up'!$B$18</f>
        <v>0</v>
      </c>
      <c r="AM8" s="363">
        <v>5.1000000000000004E-3</v>
      </c>
      <c r="AN8" s="338">
        <f>(AM8*Q8)</f>
        <v>8.0559183673469393E-4</v>
      </c>
      <c r="AO8" s="332">
        <f>AN8*1000</f>
        <v>0.80559183673469392</v>
      </c>
      <c r="AP8" s="223">
        <f>AN8*K8</f>
        <v>0.19737000000000002</v>
      </c>
      <c r="AQ8" s="224">
        <v>4</v>
      </c>
      <c r="AR8" s="223">
        <f>I8*AQ8</f>
        <v>3.9000000000000004</v>
      </c>
      <c r="AS8" s="223">
        <v>0.11</v>
      </c>
      <c r="AT8" s="223">
        <f>Y8*AS8</f>
        <v>16.830000000000002</v>
      </c>
      <c r="AU8" s="223">
        <f>(AR8+AT8)/1000</f>
        <v>2.0730000000000005E-2</v>
      </c>
      <c r="AV8" s="333">
        <f>AU8/AP8</f>
        <v>0.10503115975072201</v>
      </c>
      <c r="AW8" s="333">
        <f>1-AV8</f>
        <v>0.89496884024927803</v>
      </c>
      <c r="AX8" s="223">
        <f>AP8*AW8</f>
        <v>0.17664000000000002</v>
      </c>
      <c r="AY8" s="223">
        <f>AX8/K8</f>
        <v>7.2097959183673474E-4</v>
      </c>
      <c r="AZ8" s="14">
        <f>(AX8/K8/H8)*1000</f>
        <v>0.20822515287703527</v>
      </c>
      <c r="BA8" s="14">
        <f>AZ8*'Notes and Look Up'!$B$21</f>
        <v>0.4768356000884108</v>
      </c>
      <c r="BB8" s="223">
        <f>AX8*'Notes and Look Up'!$B$21</f>
        <v>0.40450560000000008</v>
      </c>
      <c r="BC8" s="223">
        <f>BB8*M8</f>
        <v>0.40450560000000008</v>
      </c>
      <c r="BD8" s="223">
        <f>BC8*E8</f>
        <v>0</v>
      </c>
      <c r="BE8" s="14">
        <v>0.28000000000000003</v>
      </c>
      <c r="BF8" s="14">
        <f>BE8*'Notes and Look Up'!$B$21</f>
        <v>0.6412000000000001</v>
      </c>
      <c r="BG8" s="238">
        <f>BF8/1000*H8*N8*E8</f>
        <v>0</v>
      </c>
      <c r="BH8" s="35">
        <f>BD8*'Notes and Look Up'!$B$18</f>
        <v>0</v>
      </c>
    </row>
    <row r="9" spans="1:60" ht="15" customHeight="1" x14ac:dyDescent="0.3">
      <c r="A9" s="40"/>
      <c r="B9" s="40"/>
      <c r="C9" s="40"/>
      <c r="D9" s="40"/>
      <c r="E9" s="40"/>
      <c r="F9" s="244"/>
      <c r="G9" s="244"/>
      <c r="H9" s="14"/>
      <c r="I9" s="14"/>
      <c r="J9" s="14"/>
      <c r="K9" s="14"/>
      <c r="L9" s="14"/>
      <c r="M9" s="14"/>
      <c r="N9" s="40"/>
      <c r="O9" s="40"/>
      <c r="P9" s="14"/>
      <c r="Q9" s="331"/>
      <c r="R9" s="40"/>
      <c r="S9" s="14"/>
      <c r="T9" s="14"/>
      <c r="U9" s="238"/>
      <c r="V9" s="336"/>
      <c r="W9" s="16"/>
      <c r="X9" s="14"/>
      <c r="Y9" s="14"/>
      <c r="Z9" s="14"/>
      <c r="AA9" s="14"/>
      <c r="AB9" s="14"/>
      <c r="AC9" s="14"/>
      <c r="AD9" s="14"/>
      <c r="AE9" s="14"/>
      <c r="AF9" s="14"/>
      <c r="AG9" s="224"/>
      <c r="AH9" s="14"/>
      <c r="AI9" s="14"/>
      <c r="AJ9" s="14"/>
      <c r="AK9" s="14"/>
      <c r="AL9" s="14"/>
      <c r="AM9" s="16"/>
      <c r="AN9" s="14"/>
      <c r="AO9" s="332"/>
      <c r="AP9" s="223"/>
      <c r="AQ9" s="14"/>
      <c r="AR9" s="223"/>
      <c r="AS9" s="14"/>
      <c r="AT9" s="14"/>
      <c r="AU9" s="223"/>
      <c r="AV9" s="333"/>
      <c r="AW9" s="333"/>
      <c r="AX9" s="223"/>
      <c r="AY9" s="223"/>
      <c r="AZ9" s="14"/>
      <c r="BA9" s="14"/>
      <c r="BB9" s="223"/>
      <c r="BC9" s="223"/>
      <c r="BD9" s="223"/>
      <c r="BE9" s="14"/>
      <c r="BF9" s="14"/>
      <c r="BG9" s="14"/>
      <c r="BH9" s="289"/>
    </row>
    <row r="10" spans="1:60" ht="15" customHeight="1" x14ac:dyDescent="0.3">
      <c r="A10" s="60" t="s">
        <v>83</v>
      </c>
      <c r="B10" s="15" t="s">
        <v>372</v>
      </c>
      <c r="C10" s="58" t="s">
        <v>399</v>
      </c>
      <c r="D10" s="37">
        <f>VLOOKUP(C10,'Notes and Look Up'!$A$1:$B$12,2,)</f>
        <v>0.2</v>
      </c>
      <c r="E10" s="4">
        <v>50000</v>
      </c>
      <c r="F10" s="379">
        <v>0.04</v>
      </c>
      <c r="G10" s="379">
        <v>1.355</v>
      </c>
      <c r="H10" s="16">
        <f t="shared" si="1"/>
        <v>0.69750000000000001</v>
      </c>
      <c r="I10" s="16">
        <f t="shared" ref="I10:I28" si="4">G10-F10</f>
        <v>1.3149999999999999</v>
      </c>
      <c r="J10" s="15">
        <v>133</v>
      </c>
      <c r="K10" s="4">
        <v>133</v>
      </c>
      <c r="L10" s="4">
        <v>2</v>
      </c>
      <c r="M10" s="4">
        <v>2</v>
      </c>
      <c r="N10" s="15">
        <f>K10*M10</f>
        <v>266</v>
      </c>
      <c r="O10" s="15">
        <f t="shared" ref="O10:O13" si="5">365-N10</f>
        <v>99</v>
      </c>
      <c r="P10" s="14">
        <v>5.6</v>
      </c>
      <c r="Q10" s="336">
        <f>P10/K10</f>
        <v>4.2105263157894736E-2</v>
      </c>
      <c r="R10" s="40">
        <v>0.16</v>
      </c>
      <c r="S10" s="14">
        <f t="shared" si="0"/>
        <v>6.7368421052631575</v>
      </c>
      <c r="T10" s="238">
        <f>S10*K10</f>
        <v>896</v>
      </c>
      <c r="U10" s="238">
        <f>T10/'Notes and Look Up'!$A$24</f>
        <v>143.36000000000001</v>
      </c>
      <c r="V10" s="336">
        <f>U10/1000</f>
        <v>0.14336000000000002</v>
      </c>
      <c r="W10" s="292">
        <v>35</v>
      </c>
      <c r="X10" s="14">
        <f>I10*W10</f>
        <v>46.024999999999999</v>
      </c>
      <c r="Y10" s="223"/>
      <c r="Z10" s="223"/>
      <c r="AA10" s="223">
        <v>0</v>
      </c>
      <c r="AB10" s="14">
        <f>X10+AA10</f>
        <v>46.024999999999999</v>
      </c>
      <c r="AC10" s="14">
        <f>AB10/1000</f>
        <v>4.6024999999999996E-2</v>
      </c>
      <c r="AD10" s="14">
        <f>(AC10/V10)*100</f>
        <v>32.104492187499993</v>
      </c>
      <c r="AE10" s="14">
        <f>100-AD10</f>
        <v>67.8955078125</v>
      </c>
      <c r="AF10" s="336">
        <f>V10*(AE10/100)</f>
        <v>9.7335000000000005E-2</v>
      </c>
      <c r="AG10" s="224">
        <f>(AF10/K10/H10)*1000</f>
        <v>1.0492359932088284</v>
      </c>
      <c r="AH10" s="336">
        <f>AF10*M10</f>
        <v>0.19467000000000001</v>
      </c>
      <c r="AI10" s="238">
        <f>AH10*E10</f>
        <v>9733.5</v>
      </c>
      <c r="AJ10" s="223">
        <v>1.1000000000000001</v>
      </c>
      <c r="AK10" s="337">
        <f>(1-(VLOOKUP(C10,'Notes and Look Up'!$A$2:$B$12,2,0)))*AI10</f>
        <v>7786.8</v>
      </c>
      <c r="AL10" s="8">
        <f>AK10*'Notes and Look Up'!$B$18</f>
        <v>17166.779280000002</v>
      </c>
      <c r="AM10" s="363">
        <v>5.7000000000000002E-3</v>
      </c>
      <c r="AN10" s="338">
        <f>(AM10*Q10)</f>
        <v>2.4000000000000001E-4</v>
      </c>
      <c r="AO10" s="332">
        <f t="shared" ref="AO10:AO18" si="6">AN10*1000</f>
        <v>0.24000000000000002</v>
      </c>
      <c r="AP10" s="223">
        <f>AN10*K10</f>
        <v>3.1920000000000004E-2</v>
      </c>
      <c r="AQ10" s="223">
        <v>5.6</v>
      </c>
      <c r="AR10" s="223">
        <f>I10*AQ10</f>
        <v>7.363999999999999</v>
      </c>
      <c r="AS10" s="223"/>
      <c r="AT10" s="223"/>
      <c r="AU10" s="223">
        <f t="shared" ref="AU10:AU13" si="7">(AR10+AT10)/1000</f>
        <v>7.363999999999999E-3</v>
      </c>
      <c r="AV10" s="333">
        <f t="shared" ref="AV10" si="8">AU10/AP10</f>
        <v>0.23070175438596485</v>
      </c>
      <c r="AW10" s="333">
        <f t="shared" ref="AW10:AW13" si="9">1-AV10</f>
        <v>0.76929824561403515</v>
      </c>
      <c r="AX10" s="223">
        <f t="shared" ref="AX10:AX13" si="10">AP10*AW10</f>
        <v>2.4556000000000005E-2</v>
      </c>
      <c r="AY10" s="223">
        <f>AX10/K10</f>
        <v>1.8463157894736847E-4</v>
      </c>
      <c r="AZ10" s="14">
        <f>(AX10/K10/H10)*1000</f>
        <v>0.26470477268439924</v>
      </c>
      <c r="BA10" s="14">
        <f>AZ10*'Notes and Look Up'!$B$21</f>
        <v>0.60617392944727422</v>
      </c>
      <c r="BB10" s="223">
        <f>AX10*'Notes and Look Up'!$B$21</f>
        <v>5.6233240000000011E-2</v>
      </c>
      <c r="BC10" s="223">
        <f>BB10*M10</f>
        <v>0.11246648000000002</v>
      </c>
      <c r="BD10" s="223">
        <f>BC10*E10</f>
        <v>5623.3240000000014</v>
      </c>
      <c r="BE10" s="223">
        <v>0.33</v>
      </c>
      <c r="BF10" s="14">
        <f>BE10*'Notes and Look Up'!$B$21</f>
        <v>0.75570000000000004</v>
      </c>
      <c r="BG10" s="238">
        <f>BF10/1000*H10*N10*E10</f>
        <v>7010.4399750000002</v>
      </c>
      <c r="BH10" s="35">
        <f>BD10*'Notes and Look Up'!$B$18</f>
        <v>12397.180090400005</v>
      </c>
    </row>
    <row r="11" spans="1:60" ht="15" customHeight="1" x14ac:dyDescent="0.3">
      <c r="A11" s="60" t="s">
        <v>83</v>
      </c>
      <c r="B11" s="15" t="s">
        <v>373</v>
      </c>
      <c r="C11" s="58" t="s">
        <v>399</v>
      </c>
      <c r="D11" s="37">
        <f>VLOOKUP(C11,'Notes and Look Up'!$A$1:$B$12,2,)</f>
        <v>0.2</v>
      </c>
      <c r="E11" s="4">
        <v>54000</v>
      </c>
      <c r="F11" s="379">
        <v>1.355</v>
      </c>
      <c r="G11" s="379">
        <v>1.875</v>
      </c>
      <c r="H11" s="16">
        <f t="shared" si="1"/>
        <v>1.615</v>
      </c>
      <c r="I11" s="16">
        <f t="shared" si="4"/>
        <v>0.52</v>
      </c>
      <c r="J11" s="15">
        <v>357</v>
      </c>
      <c r="K11" s="4">
        <v>357</v>
      </c>
      <c r="L11" s="4">
        <v>1</v>
      </c>
      <c r="M11" s="4">
        <v>1</v>
      </c>
      <c r="N11" s="15">
        <f>K11*M11</f>
        <v>357</v>
      </c>
      <c r="O11" s="15">
        <f t="shared" si="5"/>
        <v>8</v>
      </c>
      <c r="P11" s="14">
        <v>39.39</v>
      </c>
      <c r="Q11" s="336">
        <f>P11/K11</f>
        <v>0.11033613445378151</v>
      </c>
      <c r="R11" s="40">
        <v>0.16</v>
      </c>
      <c r="S11" s="14">
        <f t="shared" si="0"/>
        <v>17.653781512605043</v>
      </c>
      <c r="T11" s="238">
        <f>S11*K11</f>
        <v>6302.4000000000005</v>
      </c>
      <c r="U11" s="238">
        <f>T11/'Notes and Look Up'!$A$24</f>
        <v>1008.3840000000001</v>
      </c>
      <c r="V11" s="336">
        <f>U11/1000</f>
        <v>1.0083840000000002</v>
      </c>
      <c r="W11" s="292">
        <v>30</v>
      </c>
      <c r="X11" s="14">
        <f>I11*W11</f>
        <v>15.600000000000001</v>
      </c>
      <c r="Y11" s="223">
        <v>330</v>
      </c>
      <c r="Z11" s="223">
        <v>1.19</v>
      </c>
      <c r="AA11" s="223">
        <f>Y11*Z11</f>
        <v>392.7</v>
      </c>
      <c r="AB11" s="14">
        <f>X11+AA11</f>
        <v>408.3</v>
      </c>
      <c r="AC11" s="14">
        <f>AB11/1000</f>
        <v>0.4083</v>
      </c>
      <c r="AD11" s="14">
        <f>(AC11/V11)*100</f>
        <v>40.490527418126419</v>
      </c>
      <c r="AE11" s="14">
        <f>100-AD11</f>
        <v>59.509472581873581</v>
      </c>
      <c r="AF11" s="336">
        <f t="shared" ref="AF11:AF13" si="11">V11*(AE11/100)</f>
        <v>0.60008400000000017</v>
      </c>
      <c r="AG11" s="224">
        <f>(AF11/K11/H11)*1000</f>
        <v>1.0408096365481181</v>
      </c>
      <c r="AH11" s="336">
        <f>AF11*M11</f>
        <v>0.60008400000000017</v>
      </c>
      <c r="AI11" s="238">
        <f>AH11*E11</f>
        <v>32404.536000000011</v>
      </c>
      <c r="AJ11" s="223">
        <v>1.1000000000000001</v>
      </c>
      <c r="AK11" s="337">
        <f>(1-(VLOOKUP(C11,'Notes and Look Up'!$A$2:$B$12,2,0)))*AI11</f>
        <v>25923.62880000001</v>
      </c>
      <c r="AL11" s="8">
        <f>AK11*'Notes and Look Up'!$B$18</f>
        <v>57151.232052480023</v>
      </c>
      <c r="AM11" s="363">
        <v>5.2300000000000003E-3</v>
      </c>
      <c r="AN11" s="338">
        <f>(AM11*Q11)</f>
        <v>5.770579831932774E-4</v>
      </c>
      <c r="AO11" s="332">
        <f t="shared" si="6"/>
        <v>0.57705798319327739</v>
      </c>
      <c r="AP11" s="223">
        <f>AN11*K11</f>
        <v>0.20600970000000005</v>
      </c>
      <c r="AQ11" s="223">
        <v>5.6</v>
      </c>
      <c r="AR11" s="223">
        <f>I11*AQ11</f>
        <v>2.9119999999999999</v>
      </c>
      <c r="AS11" s="223">
        <v>0.09</v>
      </c>
      <c r="AT11" s="223">
        <f>Y11*AS11</f>
        <v>29.7</v>
      </c>
      <c r="AU11" s="223">
        <f t="shared" si="7"/>
        <v>3.2612000000000002E-2</v>
      </c>
      <c r="AV11" s="333">
        <f>AU11/AP11</f>
        <v>0.15830322552772999</v>
      </c>
      <c r="AW11" s="333">
        <f t="shared" si="9"/>
        <v>0.84169677447226998</v>
      </c>
      <c r="AX11" s="223">
        <f t="shared" si="10"/>
        <v>0.17339770000000004</v>
      </c>
      <c r="AY11" s="223">
        <f>AX11/K11</f>
        <v>4.8570784313725504E-4</v>
      </c>
      <c r="AZ11" s="14">
        <f>(AX11/K11/H11)*1000</f>
        <v>0.30074789048746442</v>
      </c>
      <c r="BA11" s="14">
        <f>AZ11*'Notes and Look Up'!$B$21</f>
        <v>0.68871266921629348</v>
      </c>
      <c r="BB11" s="223">
        <f>AX11*'Notes and Look Up'!$B$21</f>
        <v>0.39708073300000013</v>
      </c>
      <c r="BC11" s="223">
        <f>BB11*M11</f>
        <v>0.39708073300000013</v>
      </c>
      <c r="BD11" s="223">
        <f>BC11*E11</f>
        <v>21442.359582000008</v>
      </c>
      <c r="BE11" s="223">
        <v>0.33</v>
      </c>
      <c r="BF11" s="14">
        <f>BE11*'Notes and Look Up'!$B$21</f>
        <v>0.75570000000000004</v>
      </c>
      <c r="BG11" s="238">
        <f>BF11/1000*H11*N11*E11</f>
        <v>23527.941128999999</v>
      </c>
      <c r="BH11" s="35">
        <f>BD11*'Notes and Look Up'!$B$18</f>
        <v>47271.825934477223</v>
      </c>
    </row>
    <row r="12" spans="1:60" ht="15" customHeight="1" x14ac:dyDescent="0.3">
      <c r="A12" s="60" t="s">
        <v>83</v>
      </c>
      <c r="B12" s="15" t="s">
        <v>374</v>
      </c>
      <c r="C12" s="58" t="s">
        <v>399</v>
      </c>
      <c r="D12" s="37">
        <f>VLOOKUP(C12,'Notes and Look Up'!$A$1:$B$12,2,)</f>
        <v>0.2</v>
      </c>
      <c r="E12" s="4"/>
      <c r="F12" s="379">
        <v>0.04</v>
      </c>
      <c r="G12" s="379">
        <v>1.24</v>
      </c>
      <c r="H12" s="16">
        <f t="shared" si="1"/>
        <v>0.64</v>
      </c>
      <c r="I12" s="16">
        <f t="shared" si="4"/>
        <v>1.2</v>
      </c>
      <c r="J12" s="15">
        <v>119</v>
      </c>
      <c r="K12" s="4">
        <v>119</v>
      </c>
      <c r="L12" s="4">
        <v>2</v>
      </c>
      <c r="M12" s="4">
        <v>2</v>
      </c>
      <c r="N12" s="15">
        <f>K12*M12</f>
        <v>238</v>
      </c>
      <c r="O12" s="15">
        <f t="shared" si="5"/>
        <v>127</v>
      </c>
      <c r="P12" s="14">
        <v>5.65</v>
      </c>
      <c r="Q12" s="336">
        <f>P12/K12</f>
        <v>4.747899159663866E-2</v>
      </c>
      <c r="R12" s="40">
        <v>0.16</v>
      </c>
      <c r="S12" s="14">
        <f t="shared" si="0"/>
        <v>7.5966386554621854</v>
      </c>
      <c r="T12" s="238">
        <f>S12*K12</f>
        <v>904.00000000000011</v>
      </c>
      <c r="U12" s="238">
        <f>T12/'Notes and Look Up'!$A$24</f>
        <v>144.64000000000001</v>
      </c>
      <c r="V12" s="336">
        <f>U12/1000</f>
        <v>0.14464000000000002</v>
      </c>
      <c r="W12" s="292">
        <v>35</v>
      </c>
      <c r="X12" s="14">
        <f>I12*W12</f>
        <v>42</v>
      </c>
      <c r="Y12" s="223"/>
      <c r="Z12" s="223"/>
      <c r="AA12" s="223">
        <f t="shared" ref="AA12:AA13" si="12">Y12*Z12</f>
        <v>0</v>
      </c>
      <c r="AB12" s="14">
        <f>X12+AA12</f>
        <v>42</v>
      </c>
      <c r="AC12" s="14">
        <f>AB12/1000</f>
        <v>4.2000000000000003E-2</v>
      </c>
      <c r="AD12" s="14">
        <f>(AC12/V12)*100</f>
        <v>29.037610619469024</v>
      </c>
      <c r="AE12" s="14">
        <f>100-AD12</f>
        <v>70.962389380530979</v>
      </c>
      <c r="AF12" s="336">
        <f t="shared" si="11"/>
        <v>0.10264000000000002</v>
      </c>
      <c r="AG12" s="224">
        <f>(AF12/K12/H12)*1000</f>
        <v>1.3476890756302522</v>
      </c>
      <c r="AH12" s="336">
        <f>AF12*M12</f>
        <v>0.20528000000000005</v>
      </c>
      <c r="AI12" s="238">
        <f>AH12*E12</f>
        <v>0</v>
      </c>
      <c r="AJ12" s="223">
        <v>1.1000000000000001</v>
      </c>
      <c r="AK12" s="337">
        <f>(1-(VLOOKUP(C12,'Notes and Look Up'!$A$2:$B$12,2,0)))*AI12</f>
        <v>0</v>
      </c>
      <c r="AL12" s="8">
        <f>AK12*'Notes and Look Up'!$B$18</f>
        <v>0</v>
      </c>
      <c r="AM12" s="363">
        <v>5.7000000000000002E-3</v>
      </c>
      <c r="AN12" s="338">
        <f>(AM12*Q12)</f>
        <v>2.7063025210084037E-4</v>
      </c>
      <c r="AO12" s="332">
        <f t="shared" si="6"/>
        <v>0.27063025210084035</v>
      </c>
      <c r="AP12" s="223">
        <f>AN12*K12</f>
        <v>3.2205000000000004E-2</v>
      </c>
      <c r="AQ12" s="223">
        <v>5.6</v>
      </c>
      <c r="AR12" s="223">
        <f>I12*AQ12</f>
        <v>6.72</v>
      </c>
      <c r="AS12" s="223"/>
      <c r="AT12" s="223"/>
      <c r="AU12" s="223">
        <f t="shared" si="7"/>
        <v>6.7199999999999994E-3</v>
      </c>
      <c r="AV12" s="333">
        <f>AU12/AP12</f>
        <v>0.20866325104797387</v>
      </c>
      <c r="AW12" s="333">
        <f t="shared" si="9"/>
        <v>0.7913367489520261</v>
      </c>
      <c r="AX12" s="223">
        <f t="shared" si="10"/>
        <v>2.5485000000000004E-2</v>
      </c>
      <c r="AY12" s="223">
        <f>AX12/K12</f>
        <v>2.1415966386554626E-4</v>
      </c>
      <c r="AZ12" s="14">
        <f>(AX12/K12/H12)*1000</f>
        <v>0.33462447478991603</v>
      </c>
      <c r="BA12" s="14">
        <f>AZ12*'Notes and Look Up'!$B$21</f>
        <v>0.7662900472689077</v>
      </c>
      <c r="BB12" s="223">
        <f>AX12*'Notes and Look Up'!$B$21</f>
        <v>5.8360650000000014E-2</v>
      </c>
      <c r="BC12" s="223">
        <f>BB12*M12</f>
        <v>0.11672130000000003</v>
      </c>
      <c r="BD12" s="223">
        <f>BC12*E12</f>
        <v>0</v>
      </c>
      <c r="BE12" s="223">
        <v>0.33</v>
      </c>
      <c r="BF12" s="14">
        <f>BE12*'Notes and Look Up'!$B$21</f>
        <v>0.75570000000000004</v>
      </c>
      <c r="BG12" s="238">
        <f>BF12/1000*H12*N12*E12</f>
        <v>0</v>
      </c>
      <c r="BH12" s="35">
        <f>BD12*'Notes and Look Up'!$B$18</f>
        <v>0</v>
      </c>
    </row>
    <row r="13" spans="1:60" ht="15" customHeight="1" x14ac:dyDescent="0.3">
      <c r="A13" s="60" t="s">
        <v>83</v>
      </c>
      <c r="B13" s="15" t="s">
        <v>375</v>
      </c>
      <c r="C13" s="58" t="s">
        <v>399</v>
      </c>
      <c r="D13" s="37">
        <f>VLOOKUP(C13,'Notes and Look Up'!$A$1:$B$12,2,)</f>
        <v>0.2</v>
      </c>
      <c r="E13" s="4"/>
      <c r="F13" s="379">
        <v>1.24</v>
      </c>
      <c r="G13" s="379">
        <v>1.67</v>
      </c>
      <c r="H13" s="16">
        <f t="shared" si="1"/>
        <v>1.4550000000000001</v>
      </c>
      <c r="I13" s="16">
        <f t="shared" si="4"/>
        <v>0.42999999999999994</v>
      </c>
      <c r="J13" s="15">
        <v>350</v>
      </c>
      <c r="K13" s="4">
        <v>350</v>
      </c>
      <c r="L13" s="4">
        <v>1</v>
      </c>
      <c r="M13" s="4">
        <v>1</v>
      </c>
      <c r="N13" s="15">
        <f>K13*M13</f>
        <v>350</v>
      </c>
      <c r="O13" s="15">
        <f t="shared" si="5"/>
        <v>15</v>
      </c>
      <c r="P13" s="14">
        <v>37.5</v>
      </c>
      <c r="Q13" s="336">
        <f>P13/K13</f>
        <v>0.10714285714285714</v>
      </c>
      <c r="R13" s="40">
        <v>0.1825</v>
      </c>
      <c r="S13" s="14">
        <f t="shared" si="0"/>
        <v>19.553571428571427</v>
      </c>
      <c r="T13" s="238">
        <f>S13*K13</f>
        <v>6843.7499999999991</v>
      </c>
      <c r="U13" s="238">
        <f>T13/'Notes and Look Up'!$A$24</f>
        <v>1094.9999999999998</v>
      </c>
      <c r="V13" s="336">
        <f>U13/1000</f>
        <v>1.0949999999999998</v>
      </c>
      <c r="W13" s="292">
        <v>30</v>
      </c>
      <c r="X13" s="14">
        <f>I13*W13</f>
        <v>12.899999999999999</v>
      </c>
      <c r="Y13" s="223">
        <v>270</v>
      </c>
      <c r="Z13" s="223">
        <v>1.19</v>
      </c>
      <c r="AA13" s="223">
        <f t="shared" si="12"/>
        <v>321.3</v>
      </c>
      <c r="AB13" s="14">
        <f>X13+AA13</f>
        <v>334.2</v>
      </c>
      <c r="AC13" s="14">
        <f>AB13/1000</f>
        <v>0.3342</v>
      </c>
      <c r="AD13" s="14">
        <f>(AC13/V13)*100</f>
        <v>30.520547945205482</v>
      </c>
      <c r="AE13" s="14">
        <f>100-AD13</f>
        <v>69.479452054794521</v>
      </c>
      <c r="AF13" s="336">
        <f t="shared" si="11"/>
        <v>0.76079999999999981</v>
      </c>
      <c r="AG13" s="224">
        <f>(AF13/K13/H13)*1000</f>
        <v>1.4939617083946977</v>
      </c>
      <c r="AH13" s="336">
        <f>AF13*M13</f>
        <v>0.76079999999999981</v>
      </c>
      <c r="AI13" s="238">
        <f>AH13*E13</f>
        <v>0</v>
      </c>
      <c r="AJ13" s="223">
        <v>1.1000000000000001</v>
      </c>
      <c r="AK13" s="337">
        <f>(1-(VLOOKUP(C13,'Notes and Look Up'!$A$2:$B$12,2,0)))*AI13</f>
        <v>0</v>
      </c>
      <c r="AL13" s="8">
        <f>AK13*'Notes and Look Up'!$B$18</f>
        <v>0</v>
      </c>
      <c r="AM13" s="363">
        <v>5.4000000000000003E-3</v>
      </c>
      <c r="AN13" s="338">
        <f>(AM13*Q13)</f>
        <v>5.7857142857142862E-4</v>
      </c>
      <c r="AO13" s="332">
        <f t="shared" si="6"/>
        <v>0.57857142857142863</v>
      </c>
      <c r="AP13" s="223">
        <f>AN13*K13</f>
        <v>0.20250000000000001</v>
      </c>
      <c r="AQ13" s="223">
        <v>5.6</v>
      </c>
      <c r="AR13" s="223">
        <f>I13*AQ13</f>
        <v>2.4079999999999995</v>
      </c>
      <c r="AS13" s="223">
        <v>0.09</v>
      </c>
      <c r="AT13" s="223">
        <f>Y13*AS13</f>
        <v>24.3</v>
      </c>
      <c r="AU13" s="223">
        <f t="shared" si="7"/>
        <v>2.6707999999999999E-2</v>
      </c>
      <c r="AV13" s="333">
        <f>AU13/AP13</f>
        <v>0.13189135802469135</v>
      </c>
      <c r="AW13" s="333">
        <f t="shared" si="9"/>
        <v>0.86810864197530868</v>
      </c>
      <c r="AX13" s="223">
        <f t="shared" si="10"/>
        <v>0.17579200000000003</v>
      </c>
      <c r="AY13" s="223">
        <f>AX13/K13</f>
        <v>5.0226285714285719E-4</v>
      </c>
      <c r="AZ13" s="14">
        <f>(AX13/K13/H13)*1000</f>
        <v>0.34519783996072656</v>
      </c>
      <c r="BA13" s="14">
        <f>AZ13*'Notes and Look Up'!$B$21</f>
        <v>0.79050305351006378</v>
      </c>
      <c r="BB13" s="223">
        <f>AX13*'Notes and Look Up'!$B$21</f>
        <v>0.40256368000000009</v>
      </c>
      <c r="BC13" s="223">
        <f>BB13*M13</f>
        <v>0.40256368000000009</v>
      </c>
      <c r="BD13" s="223">
        <f>BC13*E13</f>
        <v>0</v>
      </c>
      <c r="BE13" s="223">
        <v>0.33</v>
      </c>
      <c r="BF13" s="14">
        <f>BE13*'Notes and Look Up'!$B$21</f>
        <v>0.75570000000000004</v>
      </c>
      <c r="BG13" s="238">
        <f>BF13/1000*H13*N13*E13</f>
        <v>0</v>
      </c>
      <c r="BH13" s="35">
        <f>BD13*'Notes and Look Up'!$B$18</f>
        <v>0</v>
      </c>
    </row>
    <row r="14" spans="1:60" ht="15" customHeight="1" x14ac:dyDescent="0.3">
      <c r="A14" s="334"/>
      <c r="B14" s="223"/>
      <c r="C14" s="335"/>
      <c r="D14" s="335"/>
      <c r="E14" s="223"/>
      <c r="F14" s="336"/>
      <c r="G14" s="336"/>
      <c r="H14" s="14"/>
      <c r="I14" s="14"/>
      <c r="J14" s="223"/>
      <c r="K14" s="223"/>
      <c r="L14" s="223"/>
      <c r="M14" s="223"/>
      <c r="N14" s="223"/>
      <c r="O14" s="223"/>
      <c r="P14" s="14"/>
      <c r="Q14" s="336"/>
      <c r="R14" s="40"/>
      <c r="S14" s="14"/>
      <c r="T14" s="238"/>
      <c r="U14" s="238"/>
      <c r="V14" s="336"/>
      <c r="W14" s="292"/>
      <c r="X14" s="14"/>
      <c r="Y14" s="223"/>
      <c r="Z14" s="223"/>
      <c r="AA14" s="223"/>
      <c r="AB14" s="14"/>
      <c r="AC14" s="14"/>
      <c r="AD14" s="14"/>
      <c r="AE14" s="14"/>
      <c r="AF14" s="336"/>
      <c r="AG14" s="224"/>
      <c r="AH14" s="336"/>
      <c r="AI14" s="238"/>
      <c r="AJ14" s="223"/>
      <c r="AK14" s="223"/>
      <c r="AL14" s="223"/>
      <c r="AM14" s="363"/>
      <c r="AN14" s="338"/>
      <c r="AO14" s="332"/>
      <c r="AP14" s="223"/>
      <c r="AQ14" s="223"/>
      <c r="AR14" s="223"/>
      <c r="AS14" s="223"/>
      <c r="AT14" s="223"/>
      <c r="AU14" s="223"/>
      <c r="AV14" s="333"/>
      <c r="AW14" s="333"/>
      <c r="AX14" s="223"/>
      <c r="AY14" s="223"/>
      <c r="AZ14" s="14"/>
      <c r="BA14" s="14"/>
      <c r="BB14" s="14"/>
      <c r="BC14" s="223"/>
      <c r="BD14" s="223"/>
      <c r="BE14" s="223"/>
      <c r="BF14" s="223"/>
      <c r="BG14" s="238"/>
      <c r="BH14" s="365"/>
    </row>
    <row r="15" spans="1:60" ht="15" customHeight="1" x14ac:dyDescent="0.3">
      <c r="A15" s="60" t="s">
        <v>83</v>
      </c>
      <c r="B15" s="15" t="s">
        <v>376</v>
      </c>
      <c r="C15" s="58" t="s">
        <v>399</v>
      </c>
      <c r="D15" s="37">
        <f>VLOOKUP(C15,'Notes and Look Up'!$A$1:$B$12,2,)</f>
        <v>0.2</v>
      </c>
      <c r="E15" s="4"/>
      <c r="F15" s="379">
        <v>0.04</v>
      </c>
      <c r="G15" s="379">
        <v>1.63</v>
      </c>
      <c r="H15" s="16">
        <f t="shared" si="1"/>
        <v>0.83499999999999996</v>
      </c>
      <c r="I15" s="16">
        <f t="shared" ref="I15:I18" si="13">G15-F15</f>
        <v>1.5899999999999999</v>
      </c>
      <c r="J15" s="15">
        <v>133</v>
      </c>
      <c r="K15" s="4">
        <v>133</v>
      </c>
      <c r="L15" s="4">
        <v>2</v>
      </c>
      <c r="M15" s="4">
        <v>2</v>
      </c>
      <c r="N15" s="15">
        <f>K15*M15</f>
        <v>266</v>
      </c>
      <c r="O15" s="15">
        <f t="shared" ref="O15:O18" si="14">365-N15</f>
        <v>99</v>
      </c>
      <c r="P15" s="14">
        <v>6.9</v>
      </c>
      <c r="Q15" s="336">
        <f>P15/K15</f>
        <v>5.1879699248120303E-2</v>
      </c>
      <c r="R15" s="40">
        <v>0.16</v>
      </c>
      <c r="S15" s="14">
        <f t="shared" si="0"/>
        <v>8.3007518796992485</v>
      </c>
      <c r="T15" s="238">
        <f>S15*K15</f>
        <v>1104</v>
      </c>
      <c r="U15" s="238">
        <f>T15/'Notes and Look Up'!$A$24</f>
        <v>176.64</v>
      </c>
      <c r="V15" s="336">
        <f>U15/1000</f>
        <v>0.17663999999999999</v>
      </c>
      <c r="W15" s="292">
        <v>35</v>
      </c>
      <c r="X15" s="14">
        <f>I15*W15</f>
        <v>55.649999999999991</v>
      </c>
      <c r="Y15" s="223"/>
      <c r="Z15" s="223"/>
      <c r="AA15" s="223">
        <v>0</v>
      </c>
      <c r="AB15" s="14">
        <f>X15+AA15</f>
        <v>55.649999999999991</v>
      </c>
      <c r="AC15" s="14">
        <f>AB15/1000</f>
        <v>5.5649999999999991E-2</v>
      </c>
      <c r="AD15" s="14">
        <f>(AC15/V15)*100</f>
        <v>31.504755434782606</v>
      </c>
      <c r="AE15" s="14">
        <f>100-AD15</f>
        <v>68.495244565217391</v>
      </c>
      <c r="AF15" s="336">
        <f>V15*(AE15/100)</f>
        <v>0.12099</v>
      </c>
      <c r="AG15" s="224">
        <f>(AF15/K15/H15)*1000</f>
        <v>1.0894601773895818</v>
      </c>
      <c r="AH15" s="336">
        <f>AF15*M15</f>
        <v>0.24198</v>
      </c>
      <c r="AI15" s="238">
        <f>AH15*E15</f>
        <v>0</v>
      </c>
      <c r="AJ15" s="223">
        <v>1.1000000000000001</v>
      </c>
      <c r="AK15" s="337">
        <f>(1-(VLOOKUP(C15,'Notes and Look Up'!$A$2:$B$12,2,0)))*AI15</f>
        <v>0</v>
      </c>
      <c r="AL15" s="8">
        <f>AK15*'Notes and Look Up'!$B$18</f>
        <v>0</v>
      </c>
      <c r="AM15" s="363">
        <v>5.7000000000000002E-3</v>
      </c>
      <c r="AN15" s="338">
        <f>(AM15*Q15)</f>
        <v>2.9571428571428576E-4</v>
      </c>
      <c r="AO15" s="332">
        <f t="shared" si="6"/>
        <v>0.29571428571428576</v>
      </c>
      <c r="AP15" s="223">
        <f>AN15*K15</f>
        <v>3.9330000000000004E-2</v>
      </c>
      <c r="AQ15" s="223">
        <v>5.6</v>
      </c>
      <c r="AR15" s="223">
        <f>I15*AQ15</f>
        <v>8.9039999999999981</v>
      </c>
      <c r="AS15" s="223"/>
      <c r="AT15" s="223"/>
      <c r="AU15" s="223">
        <f t="shared" ref="AU15:AU18" si="15">(AR15+AT15)/1000</f>
        <v>8.9039999999999987E-3</v>
      </c>
      <c r="AV15" s="333">
        <f t="shared" ref="AV15" si="16">AU15/AP15</f>
        <v>0.22639206712433252</v>
      </c>
      <c r="AW15" s="333">
        <f t="shared" ref="AW15:AW18" si="17">1-AV15</f>
        <v>0.77360793287566754</v>
      </c>
      <c r="AX15" s="223">
        <f t="shared" ref="AX15:AX18" si="18">AP15*AW15</f>
        <v>3.0426000000000009E-2</v>
      </c>
      <c r="AY15" s="223">
        <f>AX15/K15</f>
        <v>2.2876691729323314E-4</v>
      </c>
      <c r="AZ15" s="14">
        <f>(AX15/K15/H15)*1000</f>
        <v>0.27397235603980019</v>
      </c>
      <c r="BA15" s="14">
        <f>AZ15*'Notes and Look Up'!$B$21</f>
        <v>0.6273966953311424</v>
      </c>
      <c r="BB15" s="223">
        <f>AX15*'Notes and Look Up'!$B$21</f>
        <v>6.9675540000000022E-2</v>
      </c>
      <c r="BC15" s="223">
        <f>BB15*M15</f>
        <v>0.13935108000000004</v>
      </c>
      <c r="BD15" s="223">
        <f>BC15*E15</f>
        <v>0</v>
      </c>
      <c r="BE15" s="223">
        <v>0.33</v>
      </c>
      <c r="BF15" s="14">
        <f>BE15*'Notes and Look Up'!$B$21</f>
        <v>0.75570000000000004</v>
      </c>
      <c r="BG15" s="238">
        <f>BF15/1000*H15*N15*E15</f>
        <v>0</v>
      </c>
      <c r="BH15" s="35">
        <f>BD15*'Notes and Look Up'!$B$18</f>
        <v>0</v>
      </c>
    </row>
    <row r="16" spans="1:60" ht="15" customHeight="1" x14ac:dyDescent="0.3">
      <c r="A16" s="60" t="s">
        <v>83</v>
      </c>
      <c r="B16" s="15" t="s">
        <v>377</v>
      </c>
      <c r="C16" s="58" t="s">
        <v>399</v>
      </c>
      <c r="D16" s="37">
        <f>VLOOKUP(C16,'Notes and Look Up'!$A$1:$B$12,2,)</f>
        <v>0.2</v>
      </c>
      <c r="E16" s="4"/>
      <c r="F16" s="379">
        <v>1.63</v>
      </c>
      <c r="G16" s="379">
        <v>2.0249999999999999</v>
      </c>
      <c r="H16" s="16">
        <f t="shared" si="1"/>
        <v>1.8274999999999999</v>
      </c>
      <c r="I16" s="16">
        <f t="shared" si="13"/>
        <v>0.39500000000000002</v>
      </c>
      <c r="J16" s="15">
        <v>357</v>
      </c>
      <c r="K16" s="4">
        <v>357</v>
      </c>
      <c r="L16" s="4">
        <v>1</v>
      </c>
      <c r="M16" s="4">
        <v>1</v>
      </c>
      <c r="N16" s="15">
        <f>K16*M16</f>
        <v>357</v>
      </c>
      <c r="O16" s="15">
        <f t="shared" si="14"/>
        <v>8</v>
      </c>
      <c r="P16" s="14">
        <v>41.77</v>
      </c>
      <c r="Q16" s="336">
        <f>P16/K16</f>
        <v>0.11700280112044818</v>
      </c>
      <c r="R16" s="40">
        <v>0.16</v>
      </c>
      <c r="S16" s="14">
        <f t="shared" si="0"/>
        <v>18.72044817927171</v>
      </c>
      <c r="T16" s="238">
        <f>S16*K16</f>
        <v>6683.2000000000007</v>
      </c>
      <c r="U16" s="238">
        <f>T16/'Notes and Look Up'!$A$24</f>
        <v>1069.3120000000001</v>
      </c>
      <c r="V16" s="336">
        <f>U16/1000</f>
        <v>1.069312</v>
      </c>
      <c r="W16" s="292">
        <v>30</v>
      </c>
      <c r="X16" s="14">
        <f>I16*W16</f>
        <v>11.850000000000001</v>
      </c>
      <c r="Y16" s="223">
        <v>320</v>
      </c>
      <c r="Z16" s="223">
        <v>1.19</v>
      </c>
      <c r="AA16" s="223">
        <f>Y16*Z16</f>
        <v>380.79999999999995</v>
      </c>
      <c r="AB16" s="14">
        <f>X16+AA16</f>
        <v>392.65</v>
      </c>
      <c r="AC16" s="14">
        <f>AB16/1000</f>
        <v>0.39265</v>
      </c>
      <c r="AD16" s="14">
        <f>(AC16/V16)*100</f>
        <v>36.719872216902083</v>
      </c>
      <c r="AE16" s="14">
        <f>100-AD16</f>
        <v>63.280127783097917</v>
      </c>
      <c r="AF16" s="336">
        <f t="shared" ref="AF16:AF18" si="19">V16*(AE16/100)</f>
        <v>0.67666199999999999</v>
      </c>
      <c r="AG16" s="224">
        <f>(AF16/K16/H16)*1000</f>
        <v>1.0371610203588959</v>
      </c>
      <c r="AH16" s="336">
        <f>AF16*M16</f>
        <v>0.67666199999999999</v>
      </c>
      <c r="AI16" s="238">
        <f>AH16*E16</f>
        <v>0</v>
      </c>
      <c r="AJ16" s="223">
        <v>1.1000000000000001</v>
      </c>
      <c r="AK16" s="337">
        <f>(1-(VLOOKUP(C16,'Notes and Look Up'!$A$2:$B$12,2,0)))*AI16</f>
        <v>0</v>
      </c>
      <c r="AL16" s="8">
        <f>AK16*'Notes and Look Up'!$B$18</f>
        <v>0</v>
      </c>
      <c r="AM16" s="363">
        <v>5.2300000000000003E-3</v>
      </c>
      <c r="AN16" s="338">
        <f>(AM16*Q16)</f>
        <v>6.1192464985994398E-4</v>
      </c>
      <c r="AO16" s="332">
        <f t="shared" si="6"/>
        <v>0.61192464985994399</v>
      </c>
      <c r="AP16" s="223">
        <f>AN16*K16</f>
        <v>0.21845709999999999</v>
      </c>
      <c r="AQ16" s="223">
        <v>5.6</v>
      </c>
      <c r="AR16" s="223">
        <f>I16*AQ16</f>
        <v>2.2119999999999997</v>
      </c>
      <c r="AS16" s="223">
        <v>0.09</v>
      </c>
      <c r="AT16" s="223">
        <f>Y16*AS16</f>
        <v>28.799999999999997</v>
      </c>
      <c r="AU16" s="223">
        <f t="shared" si="15"/>
        <v>3.1011999999999998E-2</v>
      </c>
      <c r="AV16" s="333">
        <f>AU16/AP16</f>
        <v>0.14195922219969045</v>
      </c>
      <c r="AW16" s="333">
        <f t="shared" si="17"/>
        <v>0.85804077780030952</v>
      </c>
      <c r="AX16" s="223">
        <f t="shared" si="18"/>
        <v>0.18744509999999998</v>
      </c>
      <c r="AY16" s="223">
        <f>AX16/K16</f>
        <v>5.2505630252100833E-4</v>
      </c>
      <c r="AZ16" s="14">
        <f>(AX16/K16/H16)*1000</f>
        <v>0.28730851027141363</v>
      </c>
      <c r="BA16" s="14">
        <f>AZ16*'Notes and Look Up'!$B$21</f>
        <v>0.65793648852153719</v>
      </c>
      <c r="BB16" s="223">
        <f>AX16*'Notes and Look Up'!$B$21</f>
        <v>0.42924927899999993</v>
      </c>
      <c r="BC16" s="223">
        <f>BB16*M16</f>
        <v>0.42924927899999993</v>
      </c>
      <c r="BD16" s="223">
        <f>BC16*E16</f>
        <v>0</v>
      </c>
      <c r="BE16" s="223">
        <v>0.33</v>
      </c>
      <c r="BF16" s="14">
        <f>BE16*'Notes and Look Up'!$B$21</f>
        <v>0.75570000000000004</v>
      </c>
      <c r="BG16" s="238">
        <f>BF16/1000*H16*N16*E16</f>
        <v>0</v>
      </c>
      <c r="BH16" s="35">
        <f>BD16*'Notes and Look Up'!$B$18</f>
        <v>0</v>
      </c>
    </row>
    <row r="17" spans="1:60" ht="15" customHeight="1" x14ac:dyDescent="0.3">
      <c r="A17" s="60" t="s">
        <v>83</v>
      </c>
      <c r="B17" s="15" t="s">
        <v>378</v>
      </c>
      <c r="C17" s="58" t="s">
        <v>399</v>
      </c>
      <c r="D17" s="37">
        <f>VLOOKUP(C17,'Notes and Look Up'!$A$1:$B$12,2,)</f>
        <v>0.2</v>
      </c>
      <c r="E17" s="4"/>
      <c r="F17" s="379">
        <v>0.04</v>
      </c>
      <c r="G17" s="379">
        <v>1.407</v>
      </c>
      <c r="H17" s="16">
        <f t="shared" si="1"/>
        <v>0.72350000000000003</v>
      </c>
      <c r="I17" s="16">
        <f t="shared" si="13"/>
        <v>1.367</v>
      </c>
      <c r="J17" s="15">
        <v>119</v>
      </c>
      <c r="K17" s="4">
        <v>119</v>
      </c>
      <c r="L17" s="4">
        <v>2</v>
      </c>
      <c r="M17" s="4">
        <v>2</v>
      </c>
      <c r="N17" s="15">
        <f>K17*M17</f>
        <v>238</v>
      </c>
      <c r="O17" s="15">
        <f t="shared" si="14"/>
        <v>127</v>
      </c>
      <c r="P17" s="14">
        <v>5.96</v>
      </c>
      <c r="Q17" s="336">
        <f>P17/K17</f>
        <v>5.0084033613445378E-2</v>
      </c>
      <c r="R17" s="40">
        <v>0.16</v>
      </c>
      <c r="S17" s="14">
        <f t="shared" si="0"/>
        <v>8.0134453781512605</v>
      </c>
      <c r="T17" s="238">
        <f>S17*K17</f>
        <v>953.6</v>
      </c>
      <c r="U17" s="238">
        <f>T17/'Notes and Look Up'!$A$24</f>
        <v>152.57599999999999</v>
      </c>
      <c r="V17" s="336">
        <f>U17/1000</f>
        <v>0.15257599999999999</v>
      </c>
      <c r="W17" s="292">
        <v>35</v>
      </c>
      <c r="X17" s="14">
        <f>I17*W17</f>
        <v>47.844999999999999</v>
      </c>
      <c r="Y17" s="223"/>
      <c r="Z17" s="223"/>
      <c r="AA17" s="223">
        <f t="shared" ref="AA17:AA18" si="20">Y17*Z17</f>
        <v>0</v>
      </c>
      <c r="AB17" s="14">
        <f>X17+AA17</f>
        <v>47.844999999999999</v>
      </c>
      <c r="AC17" s="14">
        <f>AB17/1000</f>
        <v>4.7844999999999999E-2</v>
      </c>
      <c r="AD17" s="14">
        <f>(AC17/V17)*100</f>
        <v>31.358142827181208</v>
      </c>
      <c r="AE17" s="14">
        <f>100-AD17</f>
        <v>68.641857172818789</v>
      </c>
      <c r="AF17" s="336">
        <f t="shared" si="19"/>
        <v>0.10473099999999999</v>
      </c>
      <c r="AG17" s="224">
        <f>(AF17/K17/H17)*1000</f>
        <v>1.2164373696956321</v>
      </c>
      <c r="AH17" s="336">
        <f>AF17*M17</f>
        <v>0.20946199999999998</v>
      </c>
      <c r="AI17" s="238">
        <f>AH17*E17</f>
        <v>0</v>
      </c>
      <c r="AJ17" s="223">
        <v>1.1000000000000001</v>
      </c>
      <c r="AK17" s="337">
        <f>(1-(VLOOKUP(C17,'Notes and Look Up'!$A$2:$B$12,2,0)))*AI17</f>
        <v>0</v>
      </c>
      <c r="AL17" s="8">
        <f>AK17*'Notes and Look Up'!$B$18</f>
        <v>0</v>
      </c>
      <c r="AM17" s="363">
        <v>5.7000000000000002E-3</v>
      </c>
      <c r="AN17" s="338">
        <f>(AM17*Q17)</f>
        <v>2.8547899159663866E-4</v>
      </c>
      <c r="AO17" s="332">
        <f t="shared" si="6"/>
        <v>0.28547899159663864</v>
      </c>
      <c r="AP17" s="223">
        <f>AN17*K17</f>
        <v>3.3972000000000002E-2</v>
      </c>
      <c r="AQ17" s="223">
        <v>5.6</v>
      </c>
      <c r="AR17" s="223">
        <f>I17*AQ17</f>
        <v>7.6551999999999998</v>
      </c>
      <c r="AS17" s="223"/>
      <c r="AT17" s="223"/>
      <c r="AU17" s="223">
        <f t="shared" si="15"/>
        <v>7.6552E-3</v>
      </c>
      <c r="AV17" s="333">
        <f>AU17/AP17</f>
        <v>0.22533851407041092</v>
      </c>
      <c r="AW17" s="333">
        <f t="shared" si="17"/>
        <v>0.77466148592958906</v>
      </c>
      <c r="AX17" s="223">
        <f t="shared" si="18"/>
        <v>2.6316800000000001E-2</v>
      </c>
      <c r="AY17" s="223">
        <f>AX17/K17</f>
        <v>2.2114957983193279E-4</v>
      </c>
      <c r="AZ17" s="14">
        <f>(AX17/K17/H17)*1000</f>
        <v>0.30566631628463414</v>
      </c>
      <c r="BA17" s="14">
        <f>AZ17*'Notes and Look Up'!$B$21</f>
        <v>0.69997586429181224</v>
      </c>
      <c r="BB17" s="223">
        <f>AX17*'Notes and Look Up'!$B$21</f>
        <v>6.0265472E-2</v>
      </c>
      <c r="BC17" s="223">
        <f>BB17*M17</f>
        <v>0.120530944</v>
      </c>
      <c r="BD17" s="223">
        <f>BC17*E17</f>
        <v>0</v>
      </c>
      <c r="BE17" s="223">
        <v>0.33</v>
      </c>
      <c r="BF17" s="14">
        <f>BE17*'Notes and Look Up'!$B$21</f>
        <v>0.75570000000000004</v>
      </c>
      <c r="BG17" s="238">
        <f>BF17/1000*H17*N17*E17</f>
        <v>0</v>
      </c>
      <c r="BH17" s="35">
        <f>BD17*'Notes and Look Up'!$B$18</f>
        <v>0</v>
      </c>
    </row>
    <row r="18" spans="1:60" ht="15" customHeight="1" x14ac:dyDescent="0.3">
      <c r="A18" s="60" t="s">
        <v>83</v>
      </c>
      <c r="B18" s="15" t="s">
        <v>379</v>
      </c>
      <c r="C18" s="58" t="s">
        <v>399</v>
      </c>
      <c r="D18" s="37">
        <f>VLOOKUP(C18,'Notes and Look Up'!$A$1:$B$12,2,)</f>
        <v>0.2</v>
      </c>
      <c r="E18" s="4"/>
      <c r="F18" s="379">
        <v>1.407</v>
      </c>
      <c r="G18" s="379">
        <v>1.95</v>
      </c>
      <c r="H18" s="16">
        <f t="shared" si="1"/>
        <v>1.6785000000000001</v>
      </c>
      <c r="I18" s="16">
        <f t="shared" si="13"/>
        <v>0.54299999999999993</v>
      </c>
      <c r="J18" s="15">
        <v>350</v>
      </c>
      <c r="K18" s="4">
        <v>350</v>
      </c>
      <c r="L18" s="4">
        <v>1</v>
      </c>
      <c r="M18" s="4">
        <v>1</v>
      </c>
      <c r="N18" s="15">
        <f>K18*M18</f>
        <v>350</v>
      </c>
      <c r="O18" s="15">
        <f t="shared" si="14"/>
        <v>15</v>
      </c>
      <c r="P18" s="14">
        <v>37.1</v>
      </c>
      <c r="Q18" s="336">
        <f>P18/K18</f>
        <v>0.10600000000000001</v>
      </c>
      <c r="R18" s="40">
        <v>0.1825</v>
      </c>
      <c r="S18" s="14">
        <f t="shared" si="0"/>
        <v>19.345000000000002</v>
      </c>
      <c r="T18" s="238">
        <f>S18*K18</f>
        <v>6770.7500000000009</v>
      </c>
      <c r="U18" s="238">
        <f>T18/'Notes and Look Up'!$A$24</f>
        <v>1083.3200000000002</v>
      </c>
      <c r="V18" s="336">
        <f>U18/1000</f>
        <v>1.0833200000000001</v>
      </c>
      <c r="W18" s="292">
        <v>30</v>
      </c>
      <c r="X18" s="14">
        <f>I18*W18</f>
        <v>16.29</v>
      </c>
      <c r="Y18" s="223">
        <v>270</v>
      </c>
      <c r="Z18" s="223">
        <v>1.19</v>
      </c>
      <c r="AA18" s="223">
        <f t="shared" si="20"/>
        <v>321.3</v>
      </c>
      <c r="AB18" s="14">
        <f>X18+AA18</f>
        <v>337.59000000000003</v>
      </c>
      <c r="AC18" s="14">
        <f>AB18/1000</f>
        <v>0.33759000000000006</v>
      </c>
      <c r="AD18" s="14">
        <f>(AC18/V18)*100</f>
        <v>31.162537385075513</v>
      </c>
      <c r="AE18" s="14">
        <f>100-AD18</f>
        <v>68.83746261492449</v>
      </c>
      <c r="AF18" s="336">
        <f t="shared" si="19"/>
        <v>0.74573000000000012</v>
      </c>
      <c r="AG18" s="224">
        <f>(AF18/K18/H18)*1000</f>
        <v>1.2693816758159921</v>
      </c>
      <c r="AH18" s="336">
        <f>AF18*M18</f>
        <v>0.74573000000000012</v>
      </c>
      <c r="AI18" s="238">
        <f>AH18*E18</f>
        <v>0</v>
      </c>
      <c r="AJ18" s="223">
        <v>1.1000000000000001</v>
      </c>
      <c r="AK18" s="337">
        <f>(1-(VLOOKUP(C18,'Notes and Look Up'!$A$2:$B$12,2,0)))*AI18</f>
        <v>0</v>
      </c>
      <c r="AL18" s="8">
        <f>AK18*'Notes and Look Up'!$B$18</f>
        <v>0</v>
      </c>
      <c r="AM18" s="363">
        <v>5.4000000000000003E-3</v>
      </c>
      <c r="AN18" s="338">
        <f>(AM18*Q18)</f>
        <v>5.7240000000000004E-4</v>
      </c>
      <c r="AO18" s="332">
        <f t="shared" si="6"/>
        <v>0.57240000000000002</v>
      </c>
      <c r="AP18" s="223">
        <f>AN18*K18</f>
        <v>0.20034000000000002</v>
      </c>
      <c r="AQ18" s="223">
        <v>5.6</v>
      </c>
      <c r="AR18" s="223">
        <f>I18*AQ18</f>
        <v>3.0407999999999995</v>
      </c>
      <c r="AS18" s="223">
        <v>0.09</v>
      </c>
      <c r="AT18" s="223">
        <f>Y18*AS18</f>
        <v>24.3</v>
      </c>
      <c r="AU18" s="223">
        <f t="shared" si="15"/>
        <v>2.7340800000000002E-2</v>
      </c>
      <c r="AV18" s="333">
        <f>AU18/AP18</f>
        <v>0.13647199760407308</v>
      </c>
      <c r="AW18" s="333">
        <f t="shared" si="17"/>
        <v>0.86352800239592686</v>
      </c>
      <c r="AX18" s="223">
        <f t="shared" si="18"/>
        <v>0.17299919999999999</v>
      </c>
      <c r="AY18" s="223">
        <f>AX18/K18</f>
        <v>4.9428342857142855E-4</v>
      </c>
      <c r="AZ18" s="14">
        <f>(AX18/K18/H18)*1000</f>
        <v>0.29447925443635897</v>
      </c>
      <c r="BA18" s="14">
        <f>AZ18*'Notes and Look Up'!$B$21</f>
        <v>0.67435749265926204</v>
      </c>
      <c r="BB18" s="223">
        <f>AX18*'Notes and Look Up'!$B$21</f>
        <v>0.39616816799999999</v>
      </c>
      <c r="BC18" s="223">
        <f>BB18*M18</f>
        <v>0.39616816799999999</v>
      </c>
      <c r="BD18" s="223">
        <f>BC18*E18</f>
        <v>0</v>
      </c>
      <c r="BE18" s="223">
        <v>0.33</v>
      </c>
      <c r="BF18" s="14">
        <f>BE18*'Notes and Look Up'!$B$21</f>
        <v>0.75570000000000004</v>
      </c>
      <c r="BG18" s="238">
        <f>BF18/1000*H18*N18*E18</f>
        <v>0</v>
      </c>
      <c r="BH18" s="35">
        <f>BD18*'Notes and Look Up'!$B$18</f>
        <v>0</v>
      </c>
    </row>
    <row r="19" spans="1:60" ht="15" customHeight="1" x14ac:dyDescent="0.3">
      <c r="A19" s="40"/>
      <c r="B19" s="40"/>
      <c r="C19" s="40"/>
      <c r="D19" s="40"/>
      <c r="E19" s="40"/>
      <c r="F19" s="42"/>
      <c r="G19" s="42"/>
      <c r="H19" s="14"/>
      <c r="I19" s="14"/>
      <c r="J19" s="14"/>
      <c r="K19" s="14"/>
      <c r="L19" s="14"/>
      <c r="M19" s="14"/>
      <c r="N19" s="40"/>
      <c r="O19" s="40"/>
      <c r="P19" s="14"/>
      <c r="Q19" s="331"/>
      <c r="R19" s="40"/>
      <c r="S19" s="14"/>
      <c r="T19" s="14"/>
      <c r="U19" s="238"/>
      <c r="V19" s="336"/>
      <c r="W19" s="16"/>
      <c r="X19" s="14"/>
      <c r="Y19" s="14"/>
      <c r="Z19" s="14"/>
      <c r="AA19" s="14"/>
      <c r="AB19" s="14"/>
      <c r="AC19" s="14"/>
      <c r="AD19" s="14"/>
      <c r="AE19" s="14"/>
      <c r="AF19" s="14"/>
      <c r="AG19" s="14"/>
      <c r="AH19" s="14"/>
      <c r="AI19" s="14"/>
      <c r="AJ19" s="14"/>
      <c r="AK19" s="14"/>
      <c r="AL19" s="14"/>
      <c r="AM19" s="16"/>
      <c r="AN19" s="14"/>
      <c r="AO19" s="14"/>
      <c r="AP19" s="14"/>
      <c r="AQ19" s="14"/>
      <c r="AR19" s="14"/>
      <c r="AS19" s="14"/>
      <c r="AT19" s="14"/>
      <c r="AU19" s="14"/>
      <c r="AV19" s="14"/>
      <c r="AW19" s="14"/>
      <c r="AX19" s="14"/>
      <c r="AY19" s="14"/>
      <c r="AZ19" s="14"/>
      <c r="BA19" s="14"/>
      <c r="BB19" s="14"/>
      <c r="BC19" s="14"/>
      <c r="BD19" s="14"/>
      <c r="BE19" s="14"/>
      <c r="BF19" s="14"/>
      <c r="BG19" s="14"/>
      <c r="BH19" s="289"/>
    </row>
    <row r="20" spans="1:60" ht="15" customHeight="1" x14ac:dyDescent="0.3">
      <c r="A20" s="339" t="s">
        <v>27</v>
      </c>
      <c r="B20" s="339" t="s">
        <v>380</v>
      </c>
      <c r="C20" s="58" t="s">
        <v>399</v>
      </c>
      <c r="D20" s="37">
        <f>VLOOKUP(C20,'Notes and Look Up'!$A$1:$B$12,2,)</f>
        <v>0.2</v>
      </c>
      <c r="E20" s="340"/>
      <c r="F20" s="380">
        <v>7.0000000000000007E-2</v>
      </c>
      <c r="G20" s="380">
        <v>4.95</v>
      </c>
      <c r="H20" s="16">
        <f t="shared" si="1"/>
        <v>2.5100000000000002</v>
      </c>
      <c r="I20" s="16">
        <f t="shared" si="4"/>
        <v>4.88</v>
      </c>
      <c r="J20" s="292">
        <v>63</v>
      </c>
      <c r="K20" s="341">
        <v>63</v>
      </c>
      <c r="L20" s="341">
        <v>5</v>
      </c>
      <c r="M20" s="341">
        <v>5</v>
      </c>
      <c r="N20" s="15">
        <f t="shared" ref="N20:N28" si="21">K20*M20</f>
        <v>315</v>
      </c>
      <c r="O20" s="15">
        <f t="shared" ref="O20:O28" si="22">365-N20</f>
        <v>50</v>
      </c>
      <c r="P20" s="14">
        <v>9.4</v>
      </c>
      <c r="Q20" s="336">
        <f t="shared" ref="Q20:Q28" si="23">P20/K20</f>
        <v>0.1492063492063492</v>
      </c>
      <c r="R20" s="40">
        <v>0.2321</v>
      </c>
      <c r="S20" s="14">
        <f t="shared" si="0"/>
        <v>34.630793650793656</v>
      </c>
      <c r="T20" s="238">
        <f t="shared" ref="T20:T28" si="24">S20*K20</f>
        <v>2181.7400000000002</v>
      </c>
      <c r="U20" s="238">
        <f>T20/'Notes and Look Up'!$A$24</f>
        <v>349.07840000000004</v>
      </c>
      <c r="V20" s="336">
        <f t="shared" ref="V20:V28" si="25">U20/1000</f>
        <v>0.34907840000000007</v>
      </c>
      <c r="W20" s="15">
        <v>30</v>
      </c>
      <c r="X20" s="14">
        <f t="shared" ref="X20:X28" si="26">I20*W20</f>
        <v>146.4</v>
      </c>
      <c r="Y20" s="14"/>
      <c r="Z20" s="14"/>
      <c r="AA20" s="14"/>
      <c r="AB20" s="14">
        <f t="shared" ref="AB20:AB28" si="27">X20+AA20</f>
        <v>146.4</v>
      </c>
      <c r="AC20" s="14">
        <f t="shared" ref="AC20:AC28" si="28">AB20/1000</f>
        <v>0.1464</v>
      </c>
      <c r="AD20" s="14">
        <f t="shared" ref="AD20:AD28" si="29">(AC20/V20)*100</f>
        <v>41.939002814267504</v>
      </c>
      <c r="AE20" s="14">
        <f t="shared" ref="AE20:AE28" si="30">100-AD20</f>
        <v>58.060997185732496</v>
      </c>
      <c r="AF20" s="336">
        <f t="shared" ref="AF20:AF28" si="31">V20*(AE20/100)</f>
        <v>0.20267840000000006</v>
      </c>
      <c r="AG20" s="14">
        <f t="shared" ref="AG20:AG28" si="32">(AF20/K20/H20)*1000</f>
        <v>1.281720103712136</v>
      </c>
      <c r="AH20" s="336">
        <f t="shared" ref="AH20:AH28" si="33">AF20*M20</f>
        <v>1.0133920000000003</v>
      </c>
      <c r="AI20" s="238">
        <f t="shared" ref="AI20:AI28" si="34">AH20*E20</f>
        <v>0</v>
      </c>
      <c r="AJ20" s="14">
        <v>0.72</v>
      </c>
      <c r="AK20" s="337">
        <f>(1-(VLOOKUP(C20,'Notes and Look Up'!$A$2:$B$12,2,0)))*AI20</f>
        <v>0</v>
      </c>
      <c r="AL20" s="8">
        <f>AK20*'Notes and Look Up'!$B$18</f>
        <v>0</v>
      </c>
      <c r="AM20" s="271">
        <v>7.4999999999999997E-3</v>
      </c>
      <c r="AN20" s="338">
        <f t="shared" ref="AN20:AN28" si="35">(AM20*Q20)</f>
        <v>1.1190476190476189E-3</v>
      </c>
      <c r="AO20" s="332">
        <f t="shared" ref="AO20:AO28" si="36">AN20*1000</f>
        <v>1.1190476190476188</v>
      </c>
      <c r="AP20" s="223">
        <f t="shared" ref="AP20:AP28" si="37">AN20*K20</f>
        <v>7.0499999999999993E-2</v>
      </c>
      <c r="AQ20" s="224">
        <v>6.6</v>
      </c>
      <c r="AR20" s="223">
        <f t="shared" ref="AR20:AR28" si="38">I20*AQ20</f>
        <v>32.207999999999998</v>
      </c>
      <c r="AS20" s="14"/>
      <c r="AT20" s="14"/>
      <c r="AU20" s="223">
        <f t="shared" ref="AU20:AU28" si="39">(AR20+AT20)/1000</f>
        <v>3.2208000000000001E-2</v>
      </c>
      <c r="AV20" s="333">
        <f t="shared" ref="AV20:AV28" si="40">AU20/AP20</f>
        <v>0.4568510638297873</v>
      </c>
      <c r="AW20" s="333">
        <f t="shared" ref="AW20:AW28" si="41">1-AV20</f>
        <v>0.54314893617021265</v>
      </c>
      <c r="AX20" s="223">
        <f t="shared" ref="AX20:AX28" si="42">AP20*AW20</f>
        <v>3.8291999999999986E-2</v>
      </c>
      <c r="AY20" s="223">
        <f t="shared" ref="AY20:AY28" si="43">AX20/K20</f>
        <v>6.078095238095236E-4</v>
      </c>
      <c r="AZ20" s="14">
        <f t="shared" ref="AZ20:AZ28" si="44">(AX20/K20/H20)*1000</f>
        <v>0.24215518876873449</v>
      </c>
      <c r="BA20" s="14">
        <f>AZ20*'Notes and Look Up'!$B$21</f>
        <v>0.554535382280402</v>
      </c>
      <c r="BB20" s="223">
        <f>AX20*'Notes and Look Up'!$B$21</f>
        <v>8.7688679999999963E-2</v>
      </c>
      <c r="BC20" s="223">
        <f t="shared" ref="BC20:BC28" si="45">BB20*M20</f>
        <v>0.43844339999999982</v>
      </c>
      <c r="BD20" s="223">
        <f t="shared" ref="BD20:BD28" si="46">BC20*E20</f>
        <v>0</v>
      </c>
      <c r="BE20" s="223">
        <v>0.2</v>
      </c>
      <c r="BF20" s="14">
        <f>BE20*'Notes and Look Up'!$B$21</f>
        <v>0.45800000000000002</v>
      </c>
      <c r="BG20" s="238">
        <f t="shared" ref="BG20:BG28" si="47">BF20/1000*H20*N20*E20</f>
        <v>0</v>
      </c>
      <c r="BH20" s="35">
        <f>BD20*'Notes and Look Up'!$B$18</f>
        <v>0</v>
      </c>
    </row>
    <row r="21" spans="1:60" ht="15" customHeight="1" x14ac:dyDescent="0.3">
      <c r="A21" s="60" t="s">
        <v>27</v>
      </c>
      <c r="B21" s="15" t="s">
        <v>381</v>
      </c>
      <c r="C21" s="58" t="s">
        <v>399</v>
      </c>
      <c r="D21" s="37">
        <f>VLOOKUP(C21,'Notes and Look Up'!$A$1:$B$12,2,)</f>
        <v>0.2</v>
      </c>
      <c r="E21" s="4"/>
      <c r="F21" s="379">
        <v>7.0000000000000007E-2</v>
      </c>
      <c r="G21" s="379">
        <v>6.65</v>
      </c>
      <c r="H21" s="16">
        <f t="shared" si="1"/>
        <v>3.3600000000000003</v>
      </c>
      <c r="I21" s="16">
        <f t="shared" si="4"/>
        <v>6.58</v>
      </c>
      <c r="J21" s="15">
        <v>77</v>
      </c>
      <c r="K21" s="4">
        <v>77</v>
      </c>
      <c r="L21" s="4">
        <v>4</v>
      </c>
      <c r="M21" s="4">
        <v>4</v>
      </c>
      <c r="N21" s="15">
        <f t="shared" si="21"/>
        <v>308</v>
      </c>
      <c r="O21" s="15">
        <f t="shared" si="22"/>
        <v>57</v>
      </c>
      <c r="P21" s="14">
        <v>13.43</v>
      </c>
      <c r="Q21" s="336">
        <f t="shared" si="23"/>
        <v>0.17441558441558441</v>
      </c>
      <c r="R21" s="40">
        <v>0.22789999999999999</v>
      </c>
      <c r="S21" s="14">
        <f t="shared" si="0"/>
        <v>39.749311688311685</v>
      </c>
      <c r="T21" s="238">
        <f t="shared" si="24"/>
        <v>3060.6969999999997</v>
      </c>
      <c r="U21" s="238">
        <f>T21/'Notes and Look Up'!$A$24</f>
        <v>489.71151999999995</v>
      </c>
      <c r="V21" s="336">
        <f t="shared" si="25"/>
        <v>0.48971151999999996</v>
      </c>
      <c r="W21" s="15">
        <v>30</v>
      </c>
      <c r="X21" s="14">
        <f t="shared" si="26"/>
        <v>197.4</v>
      </c>
      <c r="Y21" s="223"/>
      <c r="Z21" s="223"/>
      <c r="AA21" s="223"/>
      <c r="AB21" s="14">
        <f t="shared" si="27"/>
        <v>197.4</v>
      </c>
      <c r="AC21" s="14">
        <f t="shared" si="28"/>
        <v>0.19739999999999999</v>
      </c>
      <c r="AD21" s="14">
        <f t="shared" si="29"/>
        <v>40.30944585498009</v>
      </c>
      <c r="AE21" s="14">
        <f t="shared" si="30"/>
        <v>59.69055414501991</v>
      </c>
      <c r="AF21" s="336">
        <f t="shared" si="31"/>
        <v>0.29231151999999999</v>
      </c>
      <c r="AG21" s="14">
        <f t="shared" si="32"/>
        <v>1.1298373531230672</v>
      </c>
      <c r="AH21" s="336">
        <f t="shared" si="33"/>
        <v>1.16924608</v>
      </c>
      <c r="AI21" s="238">
        <f t="shared" si="34"/>
        <v>0</v>
      </c>
      <c r="AJ21" s="223">
        <v>0.72</v>
      </c>
      <c r="AK21" s="337">
        <f>(1-(VLOOKUP(C21,'Notes and Look Up'!$A$2:$B$12,2,0)))*AI21</f>
        <v>0</v>
      </c>
      <c r="AL21" s="8">
        <f>AK21*'Notes and Look Up'!$B$18</f>
        <v>0</v>
      </c>
      <c r="AM21" s="363">
        <v>7.7999999999999996E-3</v>
      </c>
      <c r="AN21" s="338">
        <f t="shared" si="35"/>
        <v>1.3604415584415584E-3</v>
      </c>
      <c r="AO21" s="332">
        <f t="shared" si="36"/>
        <v>1.3604415584415583</v>
      </c>
      <c r="AP21" s="223">
        <f t="shared" si="37"/>
        <v>0.104754</v>
      </c>
      <c r="AQ21" s="224">
        <v>6.6</v>
      </c>
      <c r="AR21" s="223">
        <f t="shared" si="38"/>
        <v>43.427999999999997</v>
      </c>
      <c r="AS21" s="223"/>
      <c r="AT21" s="223"/>
      <c r="AU21" s="223">
        <f t="shared" si="39"/>
        <v>4.3427999999999994E-2</v>
      </c>
      <c r="AV21" s="333">
        <f t="shared" si="40"/>
        <v>0.41457128128758802</v>
      </c>
      <c r="AW21" s="333">
        <f t="shared" si="41"/>
        <v>0.58542871871241198</v>
      </c>
      <c r="AX21" s="223">
        <f t="shared" si="42"/>
        <v>6.1326000000000006E-2</v>
      </c>
      <c r="AY21" s="223">
        <f t="shared" si="43"/>
        <v>7.9644155844155857E-4</v>
      </c>
      <c r="AZ21" s="14">
        <f t="shared" si="44"/>
        <v>0.23703617810760669</v>
      </c>
      <c r="BA21" s="14">
        <f>AZ21*'Notes and Look Up'!$B$21</f>
        <v>0.54281284786641937</v>
      </c>
      <c r="BB21" s="223">
        <f>AX21*'Notes and Look Up'!$B$21</f>
        <v>0.14043654000000003</v>
      </c>
      <c r="BC21" s="223">
        <f t="shared" si="45"/>
        <v>0.56174616000000011</v>
      </c>
      <c r="BD21" s="223">
        <f t="shared" si="46"/>
        <v>0</v>
      </c>
      <c r="BE21" s="223">
        <v>0.2</v>
      </c>
      <c r="BF21" s="14">
        <f>BE21*'Notes and Look Up'!$B$21</f>
        <v>0.45800000000000002</v>
      </c>
      <c r="BG21" s="238">
        <f t="shared" si="47"/>
        <v>0</v>
      </c>
      <c r="BH21" s="35">
        <f>BD21*'Notes and Look Up'!$B$18</f>
        <v>0</v>
      </c>
    </row>
    <row r="22" spans="1:60" ht="15" customHeight="1" x14ac:dyDescent="0.3">
      <c r="A22" s="60" t="s">
        <v>27</v>
      </c>
      <c r="B22" s="15" t="s">
        <v>84</v>
      </c>
      <c r="C22" s="58" t="s">
        <v>399</v>
      </c>
      <c r="D22" s="37">
        <f>VLOOKUP(C22,'Notes and Look Up'!$A$1:$B$12,2,)</f>
        <v>0.2</v>
      </c>
      <c r="E22" s="4"/>
      <c r="F22" s="379">
        <v>7.0000000000000007E-2</v>
      </c>
      <c r="G22" s="379">
        <v>9.75</v>
      </c>
      <c r="H22" s="16">
        <f t="shared" si="1"/>
        <v>4.91</v>
      </c>
      <c r="I22" s="16">
        <f t="shared" si="4"/>
        <v>9.68</v>
      </c>
      <c r="J22" s="15">
        <v>98</v>
      </c>
      <c r="K22" s="4">
        <v>98</v>
      </c>
      <c r="L22" s="4">
        <v>3</v>
      </c>
      <c r="M22" s="4">
        <v>3</v>
      </c>
      <c r="N22" s="15">
        <f t="shared" si="21"/>
        <v>294</v>
      </c>
      <c r="O22" s="15">
        <f t="shared" si="22"/>
        <v>71</v>
      </c>
      <c r="P22" s="14">
        <v>22.3</v>
      </c>
      <c r="Q22" s="336">
        <f t="shared" si="23"/>
        <v>0.22755102040816327</v>
      </c>
      <c r="R22" s="40">
        <v>0.21110000000000001</v>
      </c>
      <c r="S22" s="14">
        <f t="shared" si="0"/>
        <v>48.036020408163274</v>
      </c>
      <c r="T22" s="238">
        <f t="shared" si="24"/>
        <v>4707.5300000000007</v>
      </c>
      <c r="U22" s="238">
        <f>T22/'Notes and Look Up'!$A$24</f>
        <v>753.20480000000009</v>
      </c>
      <c r="V22" s="336">
        <f t="shared" si="25"/>
        <v>0.75320480000000012</v>
      </c>
      <c r="W22" s="15">
        <v>30</v>
      </c>
      <c r="X22" s="14">
        <f t="shared" si="26"/>
        <v>290.39999999999998</v>
      </c>
      <c r="Y22" s="223"/>
      <c r="Z22" s="223"/>
      <c r="AA22" s="223"/>
      <c r="AB22" s="14">
        <f t="shared" si="27"/>
        <v>290.39999999999998</v>
      </c>
      <c r="AC22" s="14">
        <f t="shared" si="28"/>
        <v>0.29039999999999999</v>
      </c>
      <c r="AD22" s="14">
        <f t="shared" si="29"/>
        <v>38.555250842798664</v>
      </c>
      <c r="AE22" s="14">
        <f t="shared" si="30"/>
        <v>61.444749157201336</v>
      </c>
      <c r="AF22" s="336">
        <f t="shared" si="31"/>
        <v>0.46280480000000013</v>
      </c>
      <c r="AG22" s="14">
        <f t="shared" si="32"/>
        <v>0.96181221164636965</v>
      </c>
      <c r="AH22" s="336">
        <f t="shared" si="33"/>
        <v>1.3884144000000003</v>
      </c>
      <c r="AI22" s="238">
        <f t="shared" si="34"/>
        <v>0</v>
      </c>
      <c r="AJ22" s="223">
        <v>0.72</v>
      </c>
      <c r="AK22" s="337">
        <f>(1-(VLOOKUP(C22,'Notes and Look Up'!$A$2:$B$12,2,0)))*AI22</f>
        <v>0</v>
      </c>
      <c r="AL22" s="8">
        <f>AK22*'Notes and Look Up'!$B$18</f>
        <v>0</v>
      </c>
      <c r="AM22" s="363">
        <v>7.0000000000000001E-3</v>
      </c>
      <c r="AN22" s="338">
        <f t="shared" si="35"/>
        <v>1.592857142857143E-3</v>
      </c>
      <c r="AO22" s="332">
        <f t="shared" si="36"/>
        <v>1.592857142857143</v>
      </c>
      <c r="AP22" s="223">
        <f t="shared" si="37"/>
        <v>0.15610000000000002</v>
      </c>
      <c r="AQ22" s="224">
        <v>6.6</v>
      </c>
      <c r="AR22" s="223">
        <f t="shared" si="38"/>
        <v>63.887999999999998</v>
      </c>
      <c r="AS22" s="223"/>
      <c r="AT22" s="223"/>
      <c r="AU22" s="223">
        <f t="shared" si="39"/>
        <v>6.3888E-2</v>
      </c>
      <c r="AV22" s="333">
        <f t="shared" si="40"/>
        <v>0.40927610506085838</v>
      </c>
      <c r="AW22" s="333">
        <f t="shared" si="41"/>
        <v>0.59072389493914157</v>
      </c>
      <c r="AX22" s="223">
        <f t="shared" si="42"/>
        <v>9.2212000000000002E-2</v>
      </c>
      <c r="AY22" s="223">
        <f t="shared" si="43"/>
        <v>9.4093877551020412E-4</v>
      </c>
      <c r="AZ22" s="14">
        <f t="shared" si="44"/>
        <v>0.1916372251548277</v>
      </c>
      <c r="BA22" s="14">
        <f>AZ22*'Notes and Look Up'!$B$21</f>
        <v>0.43884924560455546</v>
      </c>
      <c r="BB22" s="223">
        <f>AX22*'Notes and Look Up'!$B$21</f>
        <v>0.21116548000000002</v>
      </c>
      <c r="BC22" s="223">
        <f t="shared" si="45"/>
        <v>0.63349644000000005</v>
      </c>
      <c r="BD22" s="223">
        <f t="shared" si="46"/>
        <v>0</v>
      </c>
      <c r="BE22" s="223">
        <v>0.2</v>
      </c>
      <c r="BF22" s="14">
        <f>BE22*'Notes and Look Up'!$B$21</f>
        <v>0.45800000000000002</v>
      </c>
      <c r="BG22" s="238">
        <f t="shared" si="47"/>
        <v>0</v>
      </c>
      <c r="BH22" s="35">
        <f>BD22*'Notes and Look Up'!$B$18</f>
        <v>0</v>
      </c>
    </row>
    <row r="23" spans="1:60" ht="15" customHeight="1" x14ac:dyDescent="0.3">
      <c r="A23" s="60" t="s">
        <v>27</v>
      </c>
      <c r="B23" s="15" t="s">
        <v>382</v>
      </c>
      <c r="C23" s="58" t="s">
        <v>399</v>
      </c>
      <c r="D23" s="37">
        <f>VLOOKUP(C23,'Notes and Look Up'!$A$1:$B$12,2,)</f>
        <v>0.2</v>
      </c>
      <c r="E23" s="4"/>
      <c r="F23" s="379">
        <v>7.0000000000000007E-2</v>
      </c>
      <c r="G23" s="379">
        <v>13</v>
      </c>
      <c r="H23" s="16">
        <f t="shared" si="1"/>
        <v>6.5350000000000001</v>
      </c>
      <c r="I23" s="16">
        <f t="shared" si="4"/>
        <v>12.93</v>
      </c>
      <c r="J23" s="15">
        <v>98</v>
      </c>
      <c r="K23" s="4">
        <v>98</v>
      </c>
      <c r="L23" s="4">
        <v>3</v>
      </c>
      <c r="M23" s="4">
        <v>3</v>
      </c>
      <c r="N23" s="15">
        <f t="shared" si="21"/>
        <v>294</v>
      </c>
      <c r="O23" s="15">
        <f t="shared" si="22"/>
        <v>71</v>
      </c>
      <c r="P23" s="14">
        <v>28.05</v>
      </c>
      <c r="Q23" s="336">
        <f t="shared" si="23"/>
        <v>0.28622448979591836</v>
      </c>
      <c r="R23" s="40">
        <v>0.2094</v>
      </c>
      <c r="S23" s="14">
        <f t="shared" si="0"/>
        <v>59.935408163265308</v>
      </c>
      <c r="T23" s="238">
        <f t="shared" si="24"/>
        <v>5873.67</v>
      </c>
      <c r="U23" s="238">
        <f>T23/'Notes and Look Up'!$A$24</f>
        <v>939.78719999999998</v>
      </c>
      <c r="V23" s="336">
        <f t="shared" si="25"/>
        <v>0.93978719999999993</v>
      </c>
      <c r="W23" s="15">
        <v>30</v>
      </c>
      <c r="X23" s="14">
        <f t="shared" si="26"/>
        <v>387.9</v>
      </c>
      <c r="Y23" s="223"/>
      <c r="Z23" s="223"/>
      <c r="AA23" s="223"/>
      <c r="AB23" s="14">
        <f t="shared" si="27"/>
        <v>387.9</v>
      </c>
      <c r="AC23" s="14">
        <f t="shared" si="28"/>
        <v>0.38789999999999997</v>
      </c>
      <c r="AD23" s="14">
        <f t="shared" si="29"/>
        <v>41.275301472503564</v>
      </c>
      <c r="AE23" s="14">
        <f t="shared" si="30"/>
        <v>58.724698527496436</v>
      </c>
      <c r="AF23" s="336">
        <f t="shared" si="31"/>
        <v>0.55188719999999991</v>
      </c>
      <c r="AG23" s="14">
        <f t="shared" si="32"/>
        <v>0.86174476523585708</v>
      </c>
      <c r="AH23" s="336">
        <f t="shared" si="33"/>
        <v>1.6556615999999997</v>
      </c>
      <c r="AI23" s="238">
        <f t="shared" si="34"/>
        <v>0</v>
      </c>
      <c r="AJ23" s="223">
        <v>0.53</v>
      </c>
      <c r="AK23" s="337">
        <f>(1-(VLOOKUP(C23,'Notes and Look Up'!$A$2:$B$12,2,0)))*AI23</f>
        <v>0</v>
      </c>
      <c r="AL23" s="8">
        <f>AK23*'Notes and Look Up'!$B$18</f>
        <v>0</v>
      </c>
      <c r="AM23" s="363">
        <v>7.3000000000000001E-3</v>
      </c>
      <c r="AN23" s="338">
        <f t="shared" si="35"/>
        <v>2.0894387755102041E-3</v>
      </c>
      <c r="AO23" s="332">
        <f t="shared" si="36"/>
        <v>2.089438775510204</v>
      </c>
      <c r="AP23" s="223">
        <f t="shared" si="37"/>
        <v>0.204765</v>
      </c>
      <c r="AQ23" s="224">
        <v>6.6</v>
      </c>
      <c r="AR23" s="223">
        <f t="shared" si="38"/>
        <v>85.337999999999994</v>
      </c>
      <c r="AS23" s="223"/>
      <c r="AT23" s="223"/>
      <c r="AU23" s="223">
        <f t="shared" si="39"/>
        <v>8.5337999999999997E-2</v>
      </c>
      <c r="AV23" s="333">
        <f t="shared" si="40"/>
        <v>0.41676067687348911</v>
      </c>
      <c r="AW23" s="333">
        <f t="shared" si="41"/>
        <v>0.58323932312651094</v>
      </c>
      <c r="AX23" s="223">
        <f t="shared" si="42"/>
        <v>0.11942700000000002</v>
      </c>
      <c r="AY23" s="223">
        <f t="shared" si="43"/>
        <v>1.2186428571428574E-3</v>
      </c>
      <c r="AZ23" s="14">
        <f t="shared" si="44"/>
        <v>0.18647939665537219</v>
      </c>
      <c r="BA23" s="14">
        <f>AZ23*'Notes and Look Up'!$B$21</f>
        <v>0.42703781834080234</v>
      </c>
      <c r="BB23" s="223">
        <f>AX23*'Notes and Look Up'!$B$21</f>
        <v>0.27348783000000004</v>
      </c>
      <c r="BC23" s="223">
        <f t="shared" si="45"/>
        <v>0.82046349000000007</v>
      </c>
      <c r="BD23" s="223">
        <f t="shared" si="46"/>
        <v>0</v>
      </c>
      <c r="BE23" s="223">
        <v>0.16</v>
      </c>
      <c r="BF23" s="14">
        <f>BE23*'Notes and Look Up'!$B$21</f>
        <v>0.3664</v>
      </c>
      <c r="BG23" s="238">
        <f t="shared" si="47"/>
        <v>0</v>
      </c>
      <c r="BH23" s="35">
        <f>BD23*'Notes and Look Up'!$B$18</f>
        <v>0</v>
      </c>
    </row>
    <row r="24" spans="1:60" ht="15" customHeight="1" x14ac:dyDescent="0.3">
      <c r="A24" s="60" t="s">
        <v>27</v>
      </c>
      <c r="B24" s="15" t="s">
        <v>85</v>
      </c>
      <c r="C24" s="58" t="s">
        <v>399</v>
      </c>
      <c r="D24" s="37">
        <f>VLOOKUP(C24,'Notes and Look Up'!$A$1:$B$12,2,)</f>
        <v>0.2</v>
      </c>
      <c r="E24" s="4"/>
      <c r="F24" s="379">
        <v>7.0000000000000007E-2</v>
      </c>
      <c r="G24" s="379">
        <v>12.9</v>
      </c>
      <c r="H24" s="16">
        <f t="shared" si="1"/>
        <v>6.4850000000000003</v>
      </c>
      <c r="I24" s="16">
        <f t="shared" si="4"/>
        <v>12.83</v>
      </c>
      <c r="J24" s="15">
        <v>210</v>
      </c>
      <c r="K24" s="4">
        <v>210</v>
      </c>
      <c r="L24" s="4">
        <v>1</v>
      </c>
      <c r="M24" s="4">
        <v>1</v>
      </c>
      <c r="N24" s="15">
        <f t="shared" si="21"/>
        <v>210</v>
      </c>
      <c r="O24" s="15">
        <f t="shared" si="22"/>
        <v>155</v>
      </c>
      <c r="P24" s="14">
        <v>61.85</v>
      </c>
      <c r="Q24" s="336">
        <f t="shared" si="23"/>
        <v>0.29452380952380952</v>
      </c>
      <c r="R24" s="40">
        <v>0.1234</v>
      </c>
      <c r="S24" s="14">
        <f t="shared" si="0"/>
        <v>36.34423809523809</v>
      </c>
      <c r="T24" s="238">
        <f t="shared" si="24"/>
        <v>7632.2899999999991</v>
      </c>
      <c r="U24" s="238">
        <f>T24/'Notes and Look Up'!$A$24</f>
        <v>1221.1663999999998</v>
      </c>
      <c r="V24" s="336">
        <f t="shared" si="25"/>
        <v>1.2211663999999998</v>
      </c>
      <c r="W24" s="15">
        <v>30</v>
      </c>
      <c r="X24" s="14">
        <f t="shared" si="26"/>
        <v>384.9</v>
      </c>
      <c r="Y24" s="223"/>
      <c r="Z24" s="223"/>
      <c r="AA24" s="223"/>
      <c r="AB24" s="14">
        <f t="shared" si="27"/>
        <v>384.9</v>
      </c>
      <c r="AC24" s="14">
        <f t="shared" si="28"/>
        <v>0.38489999999999996</v>
      </c>
      <c r="AD24" s="14">
        <f t="shared" si="29"/>
        <v>31.51904605301948</v>
      </c>
      <c r="AE24" s="14">
        <f t="shared" si="30"/>
        <v>68.48095394698052</v>
      </c>
      <c r="AF24" s="336">
        <f t="shared" si="31"/>
        <v>0.83626639999999974</v>
      </c>
      <c r="AG24" s="14">
        <f t="shared" si="32"/>
        <v>0.61406645372104096</v>
      </c>
      <c r="AH24" s="336">
        <f t="shared" si="33"/>
        <v>0.83626639999999974</v>
      </c>
      <c r="AI24" s="238">
        <f t="shared" si="34"/>
        <v>0</v>
      </c>
      <c r="AJ24" s="223">
        <v>0.72</v>
      </c>
      <c r="AK24" s="337">
        <f>(1-(VLOOKUP(C24,'Notes and Look Up'!$A$2:$B$12,2,0)))*AI24</f>
        <v>0</v>
      </c>
      <c r="AL24" s="8">
        <f>AK24*'Notes and Look Up'!$B$18</f>
        <v>0</v>
      </c>
      <c r="AM24" s="363">
        <v>7.3299999999999997E-3</v>
      </c>
      <c r="AN24" s="338">
        <f t="shared" si="35"/>
        <v>2.1588595238095239E-3</v>
      </c>
      <c r="AO24" s="332">
        <f t="shared" si="36"/>
        <v>2.1588595238095238</v>
      </c>
      <c r="AP24" s="223">
        <f t="shared" si="37"/>
        <v>0.4533605</v>
      </c>
      <c r="AQ24" s="224">
        <v>6.6</v>
      </c>
      <c r="AR24" s="223">
        <f t="shared" si="38"/>
        <v>84.677999999999997</v>
      </c>
      <c r="AS24" s="223"/>
      <c r="AT24" s="223"/>
      <c r="AU24" s="223">
        <f t="shared" si="39"/>
        <v>8.4678000000000003E-2</v>
      </c>
      <c r="AV24" s="333">
        <f t="shared" si="40"/>
        <v>0.18677851290529282</v>
      </c>
      <c r="AW24" s="333">
        <f t="shared" si="41"/>
        <v>0.81322148709470721</v>
      </c>
      <c r="AX24" s="223">
        <f t="shared" si="42"/>
        <v>0.36868250000000002</v>
      </c>
      <c r="AY24" s="223">
        <f t="shared" si="43"/>
        <v>1.7556309523809525E-3</v>
      </c>
      <c r="AZ24" s="14">
        <f t="shared" si="44"/>
        <v>0.27072181224070196</v>
      </c>
      <c r="BA24" s="14">
        <f>AZ24*'Notes and Look Up'!$B$21</f>
        <v>0.61995295003120754</v>
      </c>
      <c r="BB24" s="223">
        <f>AX24*'Notes and Look Up'!$B$21</f>
        <v>0.84428292500000002</v>
      </c>
      <c r="BC24" s="223">
        <f t="shared" si="45"/>
        <v>0.84428292500000002</v>
      </c>
      <c r="BD24" s="223">
        <f t="shared" si="46"/>
        <v>0</v>
      </c>
      <c r="BE24" s="223">
        <v>0.2</v>
      </c>
      <c r="BF24" s="14">
        <f>BE24*'Notes and Look Up'!$B$21</f>
        <v>0.45800000000000002</v>
      </c>
      <c r="BG24" s="238">
        <f t="shared" si="47"/>
        <v>0</v>
      </c>
      <c r="BH24" s="35">
        <f>BD24*'Notes and Look Up'!$B$18</f>
        <v>0</v>
      </c>
    </row>
    <row r="25" spans="1:60" x14ac:dyDescent="0.3">
      <c r="A25" s="60" t="s">
        <v>27</v>
      </c>
      <c r="B25" s="15" t="s">
        <v>383</v>
      </c>
      <c r="C25" s="58" t="s">
        <v>399</v>
      </c>
      <c r="D25" s="37">
        <f>VLOOKUP(C25,'Notes and Look Up'!$A$1:$B$12,2,)</f>
        <v>0.2</v>
      </c>
      <c r="E25" s="4"/>
      <c r="F25" s="379">
        <v>12.9</v>
      </c>
      <c r="G25" s="379">
        <v>12.4</v>
      </c>
      <c r="H25" s="16">
        <f t="shared" si="1"/>
        <v>12.65</v>
      </c>
      <c r="I25" s="16">
        <f t="shared" si="4"/>
        <v>-0.5</v>
      </c>
      <c r="J25" s="15">
        <v>252</v>
      </c>
      <c r="K25" s="4">
        <v>252</v>
      </c>
      <c r="L25" s="4">
        <v>1</v>
      </c>
      <c r="M25" s="4">
        <v>1</v>
      </c>
      <c r="N25" s="15">
        <f t="shared" si="21"/>
        <v>252</v>
      </c>
      <c r="O25" s="15">
        <f t="shared" si="22"/>
        <v>113</v>
      </c>
      <c r="P25" s="14">
        <v>61.62</v>
      </c>
      <c r="Q25" s="336">
        <f t="shared" si="23"/>
        <v>0.2445238095238095</v>
      </c>
      <c r="R25" s="40">
        <v>0.18</v>
      </c>
      <c r="S25" s="14">
        <f t="shared" si="0"/>
        <v>44.014285714285712</v>
      </c>
      <c r="T25" s="238">
        <f t="shared" si="24"/>
        <v>11091.6</v>
      </c>
      <c r="U25" s="238">
        <f>T25/'Notes and Look Up'!$A$24</f>
        <v>1774.6559999999999</v>
      </c>
      <c r="V25" s="336">
        <f t="shared" si="25"/>
        <v>1.774656</v>
      </c>
      <c r="W25" s="15">
        <v>30</v>
      </c>
      <c r="X25" s="14">
        <f t="shared" si="26"/>
        <v>-15</v>
      </c>
      <c r="Y25" s="223">
        <v>118</v>
      </c>
      <c r="Z25" s="346">
        <v>1.7</v>
      </c>
      <c r="AA25" s="223">
        <f t="shared" ref="AA25" si="48">Y25*Z25</f>
        <v>200.6</v>
      </c>
      <c r="AB25" s="14">
        <f t="shared" si="27"/>
        <v>185.6</v>
      </c>
      <c r="AC25" s="14">
        <f t="shared" si="28"/>
        <v>0.18559999999999999</v>
      </c>
      <c r="AD25" s="14">
        <f t="shared" si="29"/>
        <v>10.458364888744635</v>
      </c>
      <c r="AE25" s="14">
        <f t="shared" si="30"/>
        <v>89.54163511125536</v>
      </c>
      <c r="AF25" s="336">
        <f t="shared" si="31"/>
        <v>1.5890559999999998</v>
      </c>
      <c r="AG25" s="14">
        <f t="shared" si="32"/>
        <v>0.49848045674132624</v>
      </c>
      <c r="AH25" s="336">
        <f t="shared" si="33"/>
        <v>1.5890559999999998</v>
      </c>
      <c r="AI25" s="238">
        <f t="shared" si="34"/>
        <v>0</v>
      </c>
      <c r="AJ25" s="223">
        <v>0.53</v>
      </c>
      <c r="AK25" s="337">
        <f>(1-(VLOOKUP(C25,'Notes and Look Up'!$A$2:$B$12,2,0)))*AI25</f>
        <v>0</v>
      </c>
      <c r="AL25" s="8">
        <f>AK25*'Notes and Look Up'!$B$18</f>
        <v>0</v>
      </c>
      <c r="AM25" s="363">
        <v>7.0000000000000001E-3</v>
      </c>
      <c r="AN25" s="338">
        <f t="shared" si="35"/>
        <v>1.7116666666666667E-3</v>
      </c>
      <c r="AO25" s="332">
        <f t="shared" si="36"/>
        <v>1.7116666666666667</v>
      </c>
      <c r="AP25" s="223">
        <f t="shared" si="37"/>
        <v>0.43134</v>
      </c>
      <c r="AQ25" s="224">
        <v>6.6</v>
      </c>
      <c r="AR25" s="223">
        <f t="shared" si="38"/>
        <v>-3.3</v>
      </c>
      <c r="AS25" s="346">
        <v>0.21</v>
      </c>
      <c r="AT25" s="223">
        <f>Y25*AS25</f>
        <v>24.779999999999998</v>
      </c>
      <c r="AU25" s="223">
        <f t="shared" si="39"/>
        <v>2.1479999999999996E-2</v>
      </c>
      <c r="AV25" s="333">
        <f t="shared" si="40"/>
        <v>4.9798302962859912E-2</v>
      </c>
      <c r="AW25" s="333">
        <f t="shared" si="41"/>
        <v>0.95020169703714008</v>
      </c>
      <c r="AX25" s="223">
        <f t="shared" si="42"/>
        <v>0.40986</v>
      </c>
      <c r="AY25" s="223">
        <f t="shared" si="43"/>
        <v>1.6264285714285714E-3</v>
      </c>
      <c r="AZ25" s="14">
        <f t="shared" si="44"/>
        <v>0.12857142857142859</v>
      </c>
      <c r="BA25" s="14">
        <f>AZ25*'Notes and Look Up'!$B$21</f>
        <v>0.29442857142857148</v>
      </c>
      <c r="BB25" s="223">
        <f>AX25*'Notes and Look Up'!$B$21</f>
        <v>0.93857940000000006</v>
      </c>
      <c r="BC25" s="223">
        <f t="shared" si="45"/>
        <v>0.93857940000000006</v>
      </c>
      <c r="BD25" s="223">
        <f t="shared" si="46"/>
        <v>0</v>
      </c>
      <c r="BE25" s="223">
        <v>0.16</v>
      </c>
      <c r="BF25" s="14">
        <f>BE25*'Notes and Look Up'!$B$21</f>
        <v>0.3664</v>
      </c>
      <c r="BG25" s="238">
        <f t="shared" si="47"/>
        <v>0</v>
      </c>
      <c r="BH25" s="35">
        <f>BD25*'Notes and Look Up'!$B$18</f>
        <v>0</v>
      </c>
    </row>
    <row r="26" spans="1:60" x14ac:dyDescent="0.3">
      <c r="A26" s="60" t="s">
        <v>27</v>
      </c>
      <c r="B26" s="15" t="s">
        <v>384</v>
      </c>
      <c r="C26" s="58" t="s">
        <v>399</v>
      </c>
      <c r="D26" s="37">
        <f>VLOOKUP(C26,'Notes and Look Up'!$A$1:$B$12,2,)</f>
        <v>0.2</v>
      </c>
      <c r="E26" s="4"/>
      <c r="F26" s="379">
        <v>7.0000000000000007E-2</v>
      </c>
      <c r="G26" s="379">
        <v>15.77</v>
      </c>
      <c r="H26" s="16">
        <f t="shared" si="1"/>
        <v>7.92</v>
      </c>
      <c r="I26" s="16">
        <f t="shared" si="4"/>
        <v>15.7</v>
      </c>
      <c r="J26" s="15">
        <v>119</v>
      </c>
      <c r="K26" s="4">
        <v>119</v>
      </c>
      <c r="L26" s="4">
        <v>1</v>
      </c>
      <c r="M26" s="4">
        <v>1</v>
      </c>
      <c r="N26" s="15">
        <f t="shared" si="21"/>
        <v>119</v>
      </c>
      <c r="O26" s="15">
        <f t="shared" si="22"/>
        <v>246</v>
      </c>
      <c r="P26" s="14">
        <v>35.6</v>
      </c>
      <c r="Q26" s="336">
        <f t="shared" si="23"/>
        <v>0.29915966386554621</v>
      </c>
      <c r="R26" s="40">
        <v>0.17760000000000001</v>
      </c>
      <c r="S26" s="14">
        <f t="shared" si="0"/>
        <v>53.130756302521014</v>
      </c>
      <c r="T26" s="238">
        <f t="shared" si="24"/>
        <v>6322.56</v>
      </c>
      <c r="U26" s="238">
        <f>T26/'Notes and Look Up'!$A$24</f>
        <v>1011.6096000000001</v>
      </c>
      <c r="V26" s="336">
        <f t="shared" si="25"/>
        <v>1.0116096000000001</v>
      </c>
      <c r="W26" s="15">
        <v>30</v>
      </c>
      <c r="X26" s="14">
        <f t="shared" si="26"/>
        <v>471</v>
      </c>
      <c r="Y26" s="223"/>
      <c r="Z26" s="223"/>
      <c r="AA26" s="223"/>
      <c r="AB26" s="14">
        <f t="shared" si="27"/>
        <v>471</v>
      </c>
      <c r="AC26" s="14">
        <f t="shared" si="28"/>
        <v>0.47099999999999997</v>
      </c>
      <c r="AD26" s="14">
        <f t="shared" si="29"/>
        <v>46.559463255390213</v>
      </c>
      <c r="AE26" s="14">
        <f t="shared" si="30"/>
        <v>53.440536744609787</v>
      </c>
      <c r="AF26" s="336">
        <f t="shared" si="31"/>
        <v>0.54060960000000013</v>
      </c>
      <c r="AG26" s="14">
        <f t="shared" si="32"/>
        <v>0.57360325948561253</v>
      </c>
      <c r="AH26" s="336">
        <f t="shared" si="33"/>
        <v>0.54060960000000013</v>
      </c>
      <c r="AI26" s="238">
        <f t="shared" si="34"/>
        <v>0</v>
      </c>
      <c r="AJ26" s="223">
        <v>0.53</v>
      </c>
      <c r="AK26" s="337">
        <f>(1-(VLOOKUP(C26,'Notes and Look Up'!$A$2:$B$12,2,0)))*AI26</f>
        <v>0</v>
      </c>
      <c r="AL26" s="8">
        <f>AK26*'Notes and Look Up'!$B$18</f>
        <v>0</v>
      </c>
      <c r="AM26" s="363">
        <v>7.3000000000000001E-3</v>
      </c>
      <c r="AN26" s="338">
        <f t="shared" si="35"/>
        <v>2.1838655462184872E-3</v>
      </c>
      <c r="AO26" s="332">
        <f t="shared" si="36"/>
        <v>2.1838655462184873</v>
      </c>
      <c r="AP26" s="223">
        <f t="shared" si="37"/>
        <v>0.25988</v>
      </c>
      <c r="AQ26" s="224">
        <v>6.6</v>
      </c>
      <c r="AR26" s="223">
        <f t="shared" si="38"/>
        <v>103.61999999999999</v>
      </c>
      <c r="AS26" s="223"/>
      <c r="AT26" s="223"/>
      <c r="AU26" s="223">
        <f t="shared" si="39"/>
        <v>0.10361999999999999</v>
      </c>
      <c r="AV26" s="333">
        <f t="shared" si="40"/>
        <v>0.39872248730183157</v>
      </c>
      <c r="AW26" s="333">
        <f t="shared" si="41"/>
        <v>0.60127751269816843</v>
      </c>
      <c r="AX26" s="223">
        <f t="shared" si="42"/>
        <v>0.15626000000000001</v>
      </c>
      <c r="AY26" s="223">
        <f t="shared" si="43"/>
        <v>1.3131092436974791E-3</v>
      </c>
      <c r="AZ26" s="14">
        <f t="shared" si="44"/>
        <v>0.16579662167897463</v>
      </c>
      <c r="BA26" s="14">
        <f>AZ26*'Notes and Look Up'!$B$21</f>
        <v>0.37967426364485191</v>
      </c>
      <c r="BB26" s="223">
        <f>AX26*'Notes and Look Up'!$B$21</f>
        <v>0.35783540000000003</v>
      </c>
      <c r="BC26" s="223">
        <f t="shared" si="45"/>
        <v>0.35783540000000003</v>
      </c>
      <c r="BD26" s="223">
        <f t="shared" si="46"/>
        <v>0</v>
      </c>
      <c r="BE26" s="223">
        <v>0.16</v>
      </c>
      <c r="BF26" s="14">
        <f>BE26*'Notes and Look Up'!$B$21</f>
        <v>0.3664</v>
      </c>
      <c r="BG26" s="238">
        <f t="shared" si="47"/>
        <v>0</v>
      </c>
      <c r="BH26" s="35">
        <f>BD26*'Notes and Look Up'!$B$18</f>
        <v>0</v>
      </c>
    </row>
    <row r="27" spans="1:60" x14ac:dyDescent="0.3">
      <c r="A27" s="60" t="s">
        <v>27</v>
      </c>
      <c r="B27" s="15" t="s">
        <v>385</v>
      </c>
      <c r="C27" s="58" t="s">
        <v>399</v>
      </c>
      <c r="D27" s="37">
        <f>VLOOKUP(C27,'Notes and Look Up'!$A$1:$B$12,2,)</f>
        <v>0.2</v>
      </c>
      <c r="E27" s="4"/>
      <c r="F27" s="379">
        <v>15.77</v>
      </c>
      <c r="G27" s="379">
        <v>25</v>
      </c>
      <c r="H27" s="16">
        <f t="shared" si="1"/>
        <v>20.384999999999998</v>
      </c>
      <c r="I27" s="16">
        <f t="shared" si="4"/>
        <v>9.23</v>
      </c>
      <c r="J27" s="15">
        <v>91</v>
      </c>
      <c r="K27" s="4">
        <v>91</v>
      </c>
      <c r="L27" s="4">
        <v>1</v>
      </c>
      <c r="M27" s="4">
        <v>1</v>
      </c>
      <c r="N27" s="15">
        <f t="shared" si="21"/>
        <v>91</v>
      </c>
      <c r="O27" s="15">
        <f t="shared" si="22"/>
        <v>274</v>
      </c>
      <c r="P27" s="14">
        <v>56.875</v>
      </c>
      <c r="Q27" s="336">
        <f t="shared" si="23"/>
        <v>0.625</v>
      </c>
      <c r="R27" s="40">
        <v>0.11</v>
      </c>
      <c r="S27" s="14">
        <f t="shared" si="0"/>
        <v>68.75</v>
      </c>
      <c r="T27" s="238">
        <f t="shared" si="24"/>
        <v>6256.25</v>
      </c>
      <c r="U27" s="238">
        <f>T27/'Notes and Look Up'!$A$24</f>
        <v>1001</v>
      </c>
      <c r="V27" s="336">
        <f t="shared" si="25"/>
        <v>1.0009999999999999</v>
      </c>
      <c r="W27" s="15">
        <v>30</v>
      </c>
      <c r="X27" s="14">
        <f t="shared" si="26"/>
        <v>276.90000000000003</v>
      </c>
      <c r="Y27" s="223"/>
      <c r="Z27" s="223"/>
      <c r="AA27" s="223"/>
      <c r="AB27" s="14">
        <f t="shared" si="27"/>
        <v>276.90000000000003</v>
      </c>
      <c r="AC27" s="14">
        <f t="shared" si="28"/>
        <v>0.27690000000000003</v>
      </c>
      <c r="AD27" s="14">
        <f t="shared" si="29"/>
        <v>27.66233766233767</v>
      </c>
      <c r="AE27" s="14">
        <f t="shared" si="30"/>
        <v>72.337662337662323</v>
      </c>
      <c r="AF27" s="336">
        <f t="shared" si="31"/>
        <v>0.72409999999999974</v>
      </c>
      <c r="AG27" s="14">
        <f t="shared" si="32"/>
        <v>0.39034303934966175</v>
      </c>
      <c r="AH27" s="336">
        <f t="shared" si="33"/>
        <v>0.72409999999999974</v>
      </c>
      <c r="AI27" s="238">
        <f t="shared" si="34"/>
        <v>0</v>
      </c>
      <c r="AJ27" s="223">
        <v>0.53</v>
      </c>
      <c r="AK27" s="337">
        <f>(1-(VLOOKUP(C27,'Notes and Look Up'!$A$2:$B$12,2,0)))*AI27</f>
        <v>0</v>
      </c>
      <c r="AL27" s="8">
        <f>AK27*'Notes and Look Up'!$B$18</f>
        <v>0</v>
      </c>
      <c r="AM27" s="363">
        <v>7.3000000000000001E-3</v>
      </c>
      <c r="AN27" s="338">
        <f t="shared" si="35"/>
        <v>4.5624999999999997E-3</v>
      </c>
      <c r="AO27" s="332">
        <f t="shared" si="36"/>
        <v>4.5625</v>
      </c>
      <c r="AP27" s="223">
        <f t="shared" si="37"/>
        <v>0.41518749999999999</v>
      </c>
      <c r="AQ27" s="224">
        <v>6.6</v>
      </c>
      <c r="AR27" s="223">
        <f t="shared" si="38"/>
        <v>60.917999999999999</v>
      </c>
      <c r="AS27" s="223"/>
      <c r="AT27" s="223"/>
      <c r="AU27" s="223">
        <f t="shared" si="39"/>
        <v>6.0918E-2</v>
      </c>
      <c r="AV27" s="333">
        <f t="shared" si="40"/>
        <v>0.14672407045009786</v>
      </c>
      <c r="AW27" s="333">
        <f t="shared" si="41"/>
        <v>0.85327592954990217</v>
      </c>
      <c r="AX27" s="223">
        <f t="shared" si="42"/>
        <v>0.35426950000000001</v>
      </c>
      <c r="AY27" s="223">
        <f t="shared" si="43"/>
        <v>3.8930714285714289E-3</v>
      </c>
      <c r="AZ27" s="14">
        <f t="shared" si="44"/>
        <v>0.19097725918917974</v>
      </c>
      <c r="BA27" s="14">
        <f>AZ27*'Notes and Look Up'!$B$21</f>
        <v>0.4373379235432216</v>
      </c>
      <c r="BB27" s="223">
        <f>AX27*'Notes and Look Up'!$B$21</f>
        <v>0.81127715500000008</v>
      </c>
      <c r="BC27" s="223">
        <f t="shared" si="45"/>
        <v>0.81127715500000008</v>
      </c>
      <c r="BD27" s="223">
        <f t="shared" si="46"/>
        <v>0</v>
      </c>
      <c r="BE27" s="223">
        <v>0.16</v>
      </c>
      <c r="BF27" s="14">
        <f>BE27*'Notes and Look Up'!$B$21</f>
        <v>0.3664</v>
      </c>
      <c r="BG27" s="238">
        <f t="shared" si="47"/>
        <v>0</v>
      </c>
      <c r="BH27" s="35">
        <f>BD27*'Notes and Look Up'!$B$18</f>
        <v>0</v>
      </c>
    </row>
    <row r="28" spans="1:60" x14ac:dyDescent="0.3">
      <c r="A28" s="61" t="s">
        <v>27</v>
      </c>
      <c r="B28" s="24" t="s">
        <v>386</v>
      </c>
      <c r="C28" s="59" t="s">
        <v>399</v>
      </c>
      <c r="D28" s="38">
        <f>VLOOKUP(C28,'Notes and Look Up'!$A$1:$B$12,2,)</f>
        <v>0.2</v>
      </c>
      <c r="E28" s="23"/>
      <c r="F28" s="381">
        <v>25</v>
      </c>
      <c r="G28" s="381">
        <v>28.18</v>
      </c>
      <c r="H28" s="342">
        <f t="shared" si="1"/>
        <v>26.59</v>
      </c>
      <c r="I28" s="342">
        <f t="shared" si="4"/>
        <v>3.1799999999999997</v>
      </c>
      <c r="J28" s="24">
        <v>252</v>
      </c>
      <c r="K28" s="23">
        <v>252</v>
      </c>
      <c r="L28" s="23">
        <v>1</v>
      </c>
      <c r="M28" s="23">
        <v>1</v>
      </c>
      <c r="N28" s="24">
        <f t="shared" si="21"/>
        <v>252</v>
      </c>
      <c r="O28" s="24">
        <f t="shared" si="22"/>
        <v>113</v>
      </c>
      <c r="P28" s="249">
        <v>157.5</v>
      </c>
      <c r="Q28" s="349">
        <f t="shared" si="23"/>
        <v>0.625</v>
      </c>
      <c r="R28" s="353">
        <v>0.14000000000000001</v>
      </c>
      <c r="S28" s="249">
        <f t="shared" si="0"/>
        <v>87.500000000000014</v>
      </c>
      <c r="T28" s="348">
        <f t="shared" si="24"/>
        <v>22050.000000000004</v>
      </c>
      <c r="U28" s="348">
        <f>T28/'Notes and Look Up'!$A$24</f>
        <v>3528.0000000000005</v>
      </c>
      <c r="V28" s="349">
        <f t="shared" si="25"/>
        <v>3.5280000000000005</v>
      </c>
      <c r="W28" s="24">
        <v>30</v>
      </c>
      <c r="X28" s="249">
        <f t="shared" si="26"/>
        <v>95.399999999999991</v>
      </c>
      <c r="Y28" s="31"/>
      <c r="Z28" s="31"/>
      <c r="AA28" s="31"/>
      <c r="AB28" s="249">
        <f t="shared" si="27"/>
        <v>95.399999999999991</v>
      </c>
      <c r="AC28" s="249">
        <f t="shared" si="28"/>
        <v>9.5399999999999985E-2</v>
      </c>
      <c r="AD28" s="249">
        <f t="shared" si="29"/>
        <v>2.7040816326530601</v>
      </c>
      <c r="AE28" s="249">
        <f t="shared" si="30"/>
        <v>97.295918367346943</v>
      </c>
      <c r="AF28" s="349">
        <f t="shared" si="31"/>
        <v>3.4326000000000008</v>
      </c>
      <c r="AG28" s="249">
        <f t="shared" si="32"/>
        <v>0.5122763659807662</v>
      </c>
      <c r="AH28" s="349">
        <f t="shared" si="33"/>
        <v>3.4326000000000008</v>
      </c>
      <c r="AI28" s="348">
        <f t="shared" si="34"/>
        <v>0</v>
      </c>
      <c r="AJ28" s="31">
        <v>0.53</v>
      </c>
      <c r="AK28" s="350">
        <f>(1-(VLOOKUP(C28,'Notes and Look Up'!$A$2:$B$12,2,0)))*AI28</f>
        <v>0</v>
      </c>
      <c r="AL28" s="41">
        <f>AK28*'Notes and Look Up'!$B$18</f>
        <v>0</v>
      </c>
      <c r="AM28" s="364">
        <v>7.6E-3</v>
      </c>
      <c r="AN28" s="351">
        <f t="shared" si="35"/>
        <v>4.7499999999999999E-3</v>
      </c>
      <c r="AO28" s="352">
        <f t="shared" si="36"/>
        <v>4.75</v>
      </c>
      <c r="AP28" s="31">
        <f t="shared" si="37"/>
        <v>1.1970000000000001</v>
      </c>
      <c r="AQ28" s="347">
        <v>6.6</v>
      </c>
      <c r="AR28" s="31">
        <f t="shared" si="38"/>
        <v>20.987999999999996</v>
      </c>
      <c r="AS28" s="31"/>
      <c r="AT28" s="31"/>
      <c r="AU28" s="31">
        <f t="shared" si="39"/>
        <v>2.0987999999999996E-2</v>
      </c>
      <c r="AV28" s="353">
        <f t="shared" si="40"/>
        <v>1.7533834586466162E-2</v>
      </c>
      <c r="AW28" s="353">
        <f t="shared" si="41"/>
        <v>0.98246616541353382</v>
      </c>
      <c r="AX28" s="31">
        <f t="shared" si="42"/>
        <v>1.1760120000000001</v>
      </c>
      <c r="AY28" s="31">
        <f t="shared" si="43"/>
        <v>4.6667142857142862E-3</v>
      </c>
      <c r="AZ28" s="249">
        <f t="shared" si="44"/>
        <v>0.17550636651802504</v>
      </c>
      <c r="BA28" s="249">
        <f>AZ28*'Notes and Look Up'!$B$21</f>
        <v>0.40190957932627736</v>
      </c>
      <c r="BB28" s="31">
        <f>AX28*'Notes and Look Up'!$B$21</f>
        <v>2.6930674800000003</v>
      </c>
      <c r="BC28" s="31">
        <f t="shared" si="45"/>
        <v>2.6930674800000003</v>
      </c>
      <c r="BD28" s="31">
        <f t="shared" si="46"/>
        <v>0</v>
      </c>
      <c r="BE28" s="31">
        <v>0.16</v>
      </c>
      <c r="BF28" s="249">
        <f>BE28*'Notes and Look Up'!$B$21</f>
        <v>0.3664</v>
      </c>
      <c r="BG28" s="348">
        <f t="shared" si="47"/>
        <v>0</v>
      </c>
      <c r="BH28" s="36">
        <f>BD28*'Notes and Look Up'!$B$18</f>
        <v>0</v>
      </c>
    </row>
    <row r="29" spans="1:60" x14ac:dyDescent="0.3">
      <c r="O29" s="2"/>
      <c r="P29" s="5"/>
      <c r="R29" s="5"/>
      <c r="S29" s="5"/>
      <c r="T29" s="5"/>
      <c r="U29" s="5"/>
      <c r="X29" s="2"/>
      <c r="AA29" s="10"/>
      <c r="AB29" s="10"/>
      <c r="AC29" s="10"/>
      <c r="AD29" s="10"/>
      <c r="AK29" s="15"/>
    </row>
    <row r="30" spans="1:60" x14ac:dyDescent="0.3">
      <c r="A30" s="343" t="s">
        <v>387</v>
      </c>
      <c r="O30" s="2"/>
      <c r="P30" s="5"/>
      <c r="S30" s="2"/>
      <c r="X30" s="2"/>
      <c r="AK30" s="15"/>
    </row>
    <row r="31" spans="1:60" x14ac:dyDescent="0.3">
      <c r="A31" s="344"/>
      <c r="O31" s="2"/>
      <c r="P31" s="5"/>
      <c r="R31" s="5"/>
      <c r="S31" s="5"/>
      <c r="T31" s="5"/>
      <c r="U31" s="5"/>
      <c r="X31" s="2"/>
      <c r="AA31" s="10"/>
      <c r="AB31" s="10"/>
      <c r="AC31" s="10"/>
      <c r="AD31" s="10"/>
      <c r="AK31" s="15"/>
    </row>
  </sheetData>
  <sheetProtection password="DD31" sheet="1" objects="1" scenarios="1"/>
  <protectedRanges>
    <protectedRange sqref="B2" name="Operation Name"/>
    <protectedRange sqref="L5:M28" name="Cycles per Year_1"/>
    <protectedRange sqref="J5:K28" name="Days On Feed_1"/>
    <protectedRange sqref="E5:E28" name="Bird Places_1"/>
    <protectedRange sqref="D9 D14 D19 C5:C28" name="Storage Type_1"/>
  </protectedRanges>
  <dataValidations count="1">
    <dataValidation type="list" allowBlank="1" showInputMessage="1" showErrorMessage="1" sqref="C15:C18 D14 C10:C13 C5:C8 C20:C28" xr:uid="{00000000-0002-0000-0500-000000000000}">
      <formula1>Storages</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35"/>
  <sheetViews>
    <sheetView workbookViewId="0">
      <pane ySplit="5" topLeftCell="A15" activePane="bottomLeft" state="frozenSplit"/>
      <selection activeCell="H23" sqref="H23"/>
      <selection pane="bottomLeft" activeCell="H24" sqref="H24"/>
    </sheetView>
  </sheetViews>
  <sheetFormatPr defaultRowHeight="14.6" x14ac:dyDescent="0.4"/>
  <cols>
    <col min="1" max="1" width="31.3046875" customWidth="1"/>
    <col min="2" max="2" width="11.69140625" customWidth="1"/>
    <col min="3" max="3" width="10.3046875" customWidth="1"/>
    <col min="4" max="4" width="11.3046875" style="13" customWidth="1"/>
    <col min="8" max="8" width="9.53515625" bestFit="1" customWidth="1"/>
    <col min="9" max="9" width="9.15234375" customWidth="1"/>
    <col min="10" max="10" width="10.3828125" customWidth="1"/>
    <col min="11" max="11" width="11.3046875" customWidth="1"/>
  </cols>
  <sheetData>
    <row r="1" spans="1:12" x14ac:dyDescent="0.4">
      <c r="A1" s="63" t="s">
        <v>308</v>
      </c>
      <c r="B1" s="64"/>
      <c r="C1" s="64"/>
      <c r="D1" s="118"/>
      <c r="E1" s="64"/>
      <c r="F1" s="64"/>
      <c r="G1" s="64"/>
      <c r="H1" s="64"/>
      <c r="I1" s="64"/>
      <c r="J1" s="64"/>
      <c r="K1" s="302"/>
    </row>
    <row r="2" spans="1:12" x14ac:dyDescent="0.4">
      <c r="A2" s="63" t="s">
        <v>304</v>
      </c>
      <c r="B2" s="386" t="str">
        <f>IF(ISTEXT('1a - Pigs'!B2), '1a - Pigs'!B2, IF(ISTEXT('1b - Beef'!B2),'1b - Beef'!B2, IF(ISTEXT('1c - Dairy'!B2),'1c - Dairy'!B2,IF(ISTEXT('1d - Sheep'!B2), '1d - Sheep'!B2, IF(ISTEXT('1e - Poultry'!B2),'1e - Poultry'!B2, "Enter the operation name on the livestock tab(s)")))))</f>
        <v>Unger Poultry</v>
      </c>
      <c r="C2" s="386"/>
      <c r="D2" s="386"/>
      <c r="E2" s="386"/>
      <c r="F2" s="386"/>
      <c r="G2" s="386"/>
      <c r="H2" s="386"/>
      <c r="I2" s="386"/>
      <c r="J2" s="386"/>
      <c r="K2" s="387"/>
    </row>
    <row r="3" spans="1:12" x14ac:dyDescent="0.4">
      <c r="A3" s="73"/>
      <c r="B3" s="384" t="s">
        <v>95</v>
      </c>
      <c r="C3" s="384"/>
      <c r="D3" s="74" t="s">
        <v>139</v>
      </c>
      <c r="E3" s="74"/>
      <c r="F3" s="75"/>
      <c r="G3" s="76"/>
      <c r="H3" s="75"/>
      <c r="I3" s="385" t="s">
        <v>95</v>
      </c>
      <c r="J3" s="385"/>
      <c r="K3" s="87" t="s">
        <v>138</v>
      </c>
      <c r="L3" s="280"/>
    </row>
    <row r="4" spans="1:12" x14ac:dyDescent="0.4">
      <c r="A4" s="89" t="s">
        <v>96</v>
      </c>
      <c r="B4" s="70" t="s">
        <v>33</v>
      </c>
      <c r="C4" s="70" t="s">
        <v>97</v>
      </c>
      <c r="D4" s="70" t="s">
        <v>97</v>
      </c>
      <c r="E4" s="71" t="s">
        <v>98</v>
      </c>
      <c r="F4" s="72" t="s">
        <v>99</v>
      </c>
      <c r="G4" s="63" t="s">
        <v>98</v>
      </c>
      <c r="H4" s="62" t="s">
        <v>100</v>
      </c>
      <c r="I4" s="88" t="s">
        <v>33</v>
      </c>
      <c r="J4" s="88" t="s">
        <v>97</v>
      </c>
      <c r="K4" s="90" t="s">
        <v>97</v>
      </c>
      <c r="L4" s="279"/>
    </row>
    <row r="5" spans="1:12" x14ac:dyDescent="0.4">
      <c r="A5" s="80"/>
      <c r="B5" s="82"/>
      <c r="C5" s="82"/>
      <c r="D5" s="91"/>
      <c r="E5" s="82"/>
      <c r="F5" s="92"/>
      <c r="G5" s="82"/>
      <c r="H5" s="92"/>
      <c r="I5" s="93" t="s">
        <v>147</v>
      </c>
      <c r="J5" s="93" t="s">
        <v>147</v>
      </c>
      <c r="K5" s="94" t="s">
        <v>147</v>
      </c>
    </row>
    <row r="6" spans="1:12" x14ac:dyDescent="0.4">
      <c r="A6" s="79" t="s">
        <v>101</v>
      </c>
      <c r="B6" s="68">
        <v>13.8</v>
      </c>
      <c r="C6" s="68">
        <v>58</v>
      </c>
      <c r="D6" s="68">
        <v>58</v>
      </c>
      <c r="E6" s="64" t="s">
        <v>102</v>
      </c>
      <c r="F6" s="67"/>
      <c r="G6" s="69" t="s">
        <v>103</v>
      </c>
      <c r="H6" s="67"/>
      <c r="I6" s="65" t="str">
        <f>IF(F6*B6*H6=0,"-",F6*B6*H6)</f>
        <v>-</v>
      </c>
      <c r="J6" s="65" t="str">
        <f>IF(F6*C6*H6=0,"-",F6*C6*H6)</f>
        <v>-</v>
      </c>
      <c r="K6" s="86" t="str">
        <f>IF(F6*D6*H6=0,"-",(F6*D6*H6))</f>
        <v>-</v>
      </c>
    </row>
    <row r="7" spans="1:12" x14ac:dyDescent="0.4">
      <c r="A7" s="79" t="s">
        <v>104</v>
      </c>
      <c r="B7" s="68">
        <v>0.42</v>
      </c>
      <c r="C7" s="68">
        <v>0.97</v>
      </c>
      <c r="D7" s="68">
        <v>1.39</v>
      </c>
      <c r="E7" s="64" t="s">
        <v>105</v>
      </c>
      <c r="F7" s="67"/>
      <c r="G7" s="69" t="s">
        <v>106</v>
      </c>
      <c r="H7" s="67"/>
      <c r="I7" s="65" t="str">
        <f>IF(F7*B7*H7=0,"-",F7*B7*H7)</f>
        <v>-</v>
      </c>
      <c r="J7" s="65" t="str">
        <f t="shared" ref="J7:J25" si="0">IF(F7*C7*H7=0,"-",F7*C7*H7)</f>
        <v>-</v>
      </c>
      <c r="K7" s="86" t="str">
        <f t="shared" ref="K7:K25" si="1">IF(F7*D7*H7=0,"-",(F7*D7*H7))</f>
        <v>-</v>
      </c>
    </row>
    <row r="8" spans="1:12" x14ac:dyDescent="0.4">
      <c r="A8" s="79" t="s">
        <v>107</v>
      </c>
      <c r="B8" s="68">
        <v>11.8</v>
      </c>
      <c r="C8" s="68">
        <v>34.4</v>
      </c>
      <c r="D8" s="68">
        <v>34.4</v>
      </c>
      <c r="E8" s="64" t="s">
        <v>102</v>
      </c>
      <c r="F8" s="67"/>
      <c r="G8" s="69" t="s">
        <v>103</v>
      </c>
      <c r="H8" s="67"/>
      <c r="I8" s="65" t="str">
        <f t="shared" ref="I8:I25" si="2">IF(F8*B8*H8=0,"-",F8*B8*H8)</f>
        <v>-</v>
      </c>
      <c r="J8" s="65" t="str">
        <f t="shared" si="0"/>
        <v>-</v>
      </c>
      <c r="K8" s="86" t="str">
        <f t="shared" si="1"/>
        <v>-</v>
      </c>
    </row>
    <row r="9" spans="1:12" x14ac:dyDescent="0.4">
      <c r="A9" s="79" t="s">
        <v>108</v>
      </c>
      <c r="B9" s="68">
        <v>1.04</v>
      </c>
      <c r="C9" s="68">
        <v>1.93</v>
      </c>
      <c r="D9" s="68">
        <v>3.19</v>
      </c>
      <c r="E9" s="64" t="s">
        <v>105</v>
      </c>
      <c r="F9" s="67">
        <v>41.9</v>
      </c>
      <c r="G9" s="69" t="s">
        <v>106</v>
      </c>
      <c r="H9" s="67">
        <v>329</v>
      </c>
      <c r="I9" s="65">
        <f t="shared" si="2"/>
        <v>14336.504000000001</v>
      </c>
      <c r="J9" s="65">
        <f t="shared" si="0"/>
        <v>26605.242999999999</v>
      </c>
      <c r="K9" s="86">
        <f t="shared" si="1"/>
        <v>43974.468999999997</v>
      </c>
    </row>
    <row r="10" spans="1:12" x14ac:dyDescent="0.4">
      <c r="A10" s="79" t="s">
        <v>109</v>
      </c>
      <c r="B10" s="68">
        <v>0.44</v>
      </c>
      <c r="C10" s="68">
        <v>0.97</v>
      </c>
      <c r="D10" s="68">
        <v>1.53</v>
      </c>
      <c r="E10" s="64" t="s">
        <v>105</v>
      </c>
      <c r="F10" s="67">
        <v>132.30000000000001</v>
      </c>
      <c r="G10" s="69" t="s">
        <v>106</v>
      </c>
      <c r="H10" s="67">
        <v>155</v>
      </c>
      <c r="I10" s="65">
        <f t="shared" si="2"/>
        <v>9022.86</v>
      </c>
      <c r="J10" s="65">
        <f t="shared" si="0"/>
        <v>19891.305000000004</v>
      </c>
      <c r="K10" s="86">
        <f t="shared" si="1"/>
        <v>31374.945000000003</v>
      </c>
    </row>
    <row r="11" spans="1:12" x14ac:dyDescent="0.4">
      <c r="A11" s="79" t="s">
        <v>110</v>
      </c>
      <c r="B11" s="68">
        <v>12.7</v>
      </c>
      <c r="C11" s="68">
        <v>31.2</v>
      </c>
      <c r="D11" s="68">
        <v>31.2</v>
      </c>
      <c r="E11" s="64" t="s">
        <v>102</v>
      </c>
      <c r="F11" s="67"/>
      <c r="G11" s="69" t="s">
        <v>111</v>
      </c>
      <c r="H11" s="67"/>
      <c r="I11" s="65" t="str">
        <f t="shared" si="2"/>
        <v>-</v>
      </c>
      <c r="J11" s="65" t="str">
        <f t="shared" si="0"/>
        <v>-</v>
      </c>
      <c r="K11" s="86" t="str">
        <f t="shared" si="1"/>
        <v>-</v>
      </c>
    </row>
    <row r="12" spans="1:12" x14ac:dyDescent="0.4">
      <c r="A12" s="79" t="s">
        <v>112</v>
      </c>
      <c r="B12" s="68">
        <v>1.39</v>
      </c>
      <c r="C12" s="68">
        <v>4.17</v>
      </c>
      <c r="D12" s="68"/>
      <c r="E12" s="64" t="s">
        <v>113</v>
      </c>
      <c r="F12" s="67"/>
      <c r="G12" s="69" t="s">
        <v>114</v>
      </c>
      <c r="H12" s="67"/>
      <c r="I12" s="65" t="str">
        <f t="shared" si="2"/>
        <v>-</v>
      </c>
      <c r="J12" s="65" t="str">
        <f t="shared" si="0"/>
        <v>-</v>
      </c>
      <c r="K12" s="86" t="str">
        <f t="shared" si="1"/>
        <v>-</v>
      </c>
    </row>
    <row r="13" spans="1:12" x14ac:dyDescent="0.4">
      <c r="A13" s="79" t="s">
        <v>115</v>
      </c>
      <c r="B13" s="68">
        <v>1.79</v>
      </c>
      <c r="C13" s="68">
        <v>5.0199999999999996</v>
      </c>
      <c r="D13" s="68">
        <v>8.4</v>
      </c>
      <c r="E13" s="64" t="s">
        <v>113</v>
      </c>
      <c r="F13" s="67"/>
      <c r="G13" s="69" t="s">
        <v>114</v>
      </c>
      <c r="H13" s="67"/>
      <c r="I13" s="65" t="str">
        <f t="shared" si="2"/>
        <v>-</v>
      </c>
      <c r="J13" s="65" t="str">
        <f t="shared" si="0"/>
        <v>-</v>
      </c>
      <c r="K13" s="86" t="str">
        <f t="shared" si="1"/>
        <v>-</v>
      </c>
    </row>
    <row r="14" spans="1:12" x14ac:dyDescent="0.4">
      <c r="A14" s="79" t="s">
        <v>116</v>
      </c>
      <c r="B14" s="68">
        <v>0.65</v>
      </c>
      <c r="C14" s="68">
        <v>2.13</v>
      </c>
      <c r="D14" s="68">
        <v>2.88</v>
      </c>
      <c r="E14" s="64" t="s">
        <v>105</v>
      </c>
      <c r="F14" s="67"/>
      <c r="G14" s="69" t="s">
        <v>106</v>
      </c>
      <c r="H14" s="67"/>
      <c r="I14" s="65" t="str">
        <f t="shared" si="2"/>
        <v>-</v>
      </c>
      <c r="J14" s="65" t="str">
        <f t="shared" si="0"/>
        <v>-</v>
      </c>
      <c r="K14" s="86" t="str">
        <f t="shared" si="1"/>
        <v>-</v>
      </c>
    </row>
    <row r="15" spans="1:12" x14ac:dyDescent="0.4">
      <c r="A15" s="79" t="s">
        <v>117</v>
      </c>
      <c r="B15" s="68">
        <v>10</v>
      </c>
      <c r="C15" s="68">
        <v>34.200000000000003</v>
      </c>
      <c r="D15" s="68">
        <v>34.200000000000003</v>
      </c>
      <c r="E15" s="64" t="s">
        <v>102</v>
      </c>
      <c r="F15" s="67"/>
      <c r="G15" s="69" t="s">
        <v>111</v>
      </c>
      <c r="H15" s="67"/>
      <c r="I15" s="65" t="str">
        <f t="shared" si="2"/>
        <v>-</v>
      </c>
      <c r="J15" s="65" t="str">
        <f t="shared" si="0"/>
        <v>-</v>
      </c>
      <c r="K15" s="86" t="str">
        <f t="shared" si="1"/>
        <v>-</v>
      </c>
    </row>
    <row r="16" spans="1:12" x14ac:dyDescent="0.4">
      <c r="A16" s="79" t="s">
        <v>118</v>
      </c>
      <c r="B16" s="68">
        <v>1.03</v>
      </c>
      <c r="C16" s="68">
        <v>3.39</v>
      </c>
      <c r="D16" s="68">
        <v>5.08</v>
      </c>
      <c r="E16" s="64" t="s">
        <v>113</v>
      </c>
      <c r="F16" s="67"/>
      <c r="G16" s="69" t="s">
        <v>114</v>
      </c>
      <c r="H16" s="67"/>
      <c r="I16" s="65" t="str">
        <f t="shared" si="2"/>
        <v>-</v>
      </c>
      <c r="J16" s="65" t="str">
        <f t="shared" si="0"/>
        <v>-</v>
      </c>
      <c r="K16" s="86" t="str">
        <f t="shared" si="1"/>
        <v>-</v>
      </c>
    </row>
    <row r="17" spans="1:12" x14ac:dyDescent="0.4">
      <c r="A17" s="79" t="s">
        <v>119</v>
      </c>
      <c r="B17" s="68">
        <v>0.26</v>
      </c>
      <c r="C17" s="68">
        <v>0.62</v>
      </c>
      <c r="D17" s="68">
        <v>1.07</v>
      </c>
      <c r="E17" s="64" t="s">
        <v>105</v>
      </c>
      <c r="F17" s="67"/>
      <c r="G17" s="69" t="s">
        <v>106</v>
      </c>
      <c r="H17" s="67"/>
      <c r="I17" s="65" t="str">
        <f t="shared" si="2"/>
        <v>-</v>
      </c>
      <c r="J17" s="65" t="str">
        <f t="shared" si="0"/>
        <v>-</v>
      </c>
      <c r="K17" s="86" t="str">
        <f t="shared" si="1"/>
        <v>-</v>
      </c>
    </row>
    <row r="18" spans="1:12" x14ac:dyDescent="0.4">
      <c r="A18" s="79" t="s">
        <v>140</v>
      </c>
      <c r="B18" s="68">
        <v>10</v>
      </c>
      <c r="C18" s="68">
        <v>34.200000000000003</v>
      </c>
      <c r="D18" s="68">
        <v>34.200000000000003</v>
      </c>
      <c r="E18" s="64" t="s">
        <v>102</v>
      </c>
      <c r="F18" s="68">
        <v>0.5</v>
      </c>
      <c r="G18" s="69" t="s">
        <v>103</v>
      </c>
      <c r="H18" s="67"/>
      <c r="I18" s="65" t="str">
        <f t="shared" si="2"/>
        <v>-</v>
      </c>
      <c r="J18" s="65" t="str">
        <f t="shared" si="0"/>
        <v>-</v>
      </c>
      <c r="K18" s="86" t="str">
        <f t="shared" si="1"/>
        <v>-</v>
      </c>
    </row>
    <row r="19" spans="1:12" x14ac:dyDescent="0.4">
      <c r="A19" s="79" t="s">
        <v>120</v>
      </c>
      <c r="B19" s="68">
        <v>0.69</v>
      </c>
      <c r="C19" s="68">
        <v>2.34</v>
      </c>
      <c r="D19" s="68">
        <v>3.06</v>
      </c>
      <c r="E19" s="64" t="s">
        <v>105</v>
      </c>
      <c r="F19" s="67"/>
      <c r="G19" s="69" t="s">
        <v>106</v>
      </c>
      <c r="H19" s="67"/>
      <c r="I19" s="65" t="str">
        <f t="shared" si="2"/>
        <v>-</v>
      </c>
      <c r="J19" s="65" t="str">
        <f t="shared" si="0"/>
        <v>-</v>
      </c>
      <c r="K19" s="86" t="str">
        <f t="shared" si="1"/>
        <v>-</v>
      </c>
    </row>
    <row r="20" spans="1:12" x14ac:dyDescent="0.4">
      <c r="A20" s="79" t="s">
        <v>121</v>
      </c>
      <c r="B20" s="68">
        <v>0.09</v>
      </c>
      <c r="C20" s="68">
        <v>0.32</v>
      </c>
      <c r="D20" s="68">
        <v>0.56999999999999995</v>
      </c>
      <c r="E20" s="64" t="s">
        <v>113</v>
      </c>
      <c r="F20" s="67"/>
      <c r="G20" s="69" t="s">
        <v>114</v>
      </c>
      <c r="H20" s="67"/>
      <c r="I20" s="65" t="str">
        <f t="shared" si="2"/>
        <v>-</v>
      </c>
      <c r="J20" s="65" t="str">
        <f t="shared" si="0"/>
        <v>-</v>
      </c>
      <c r="K20" s="86" t="str">
        <f t="shared" si="1"/>
        <v>-</v>
      </c>
    </row>
    <row r="21" spans="1:12" x14ac:dyDescent="0.4">
      <c r="A21" s="79" t="s">
        <v>122</v>
      </c>
      <c r="B21" s="68">
        <v>0.45</v>
      </c>
      <c r="C21" s="68">
        <v>1.06</v>
      </c>
      <c r="D21" s="68">
        <v>1.67</v>
      </c>
      <c r="E21" s="64" t="s">
        <v>105</v>
      </c>
      <c r="F21" s="67"/>
      <c r="G21" s="69" t="s">
        <v>106</v>
      </c>
      <c r="H21" s="67"/>
      <c r="I21" s="65" t="str">
        <f t="shared" si="2"/>
        <v>-</v>
      </c>
      <c r="J21" s="65" t="str">
        <f t="shared" si="0"/>
        <v>-</v>
      </c>
      <c r="K21" s="86" t="str">
        <f t="shared" si="1"/>
        <v>-</v>
      </c>
    </row>
    <row r="22" spans="1:12" x14ac:dyDescent="0.4">
      <c r="A22" s="79" t="s">
        <v>123</v>
      </c>
      <c r="B22" s="68">
        <v>0.84</v>
      </c>
      <c r="C22" s="68">
        <v>3.87</v>
      </c>
      <c r="D22" s="68">
        <v>5.2</v>
      </c>
      <c r="E22" s="64" t="s">
        <v>105</v>
      </c>
      <c r="F22" s="67">
        <v>38.200000000000003</v>
      </c>
      <c r="G22" s="69" t="s">
        <v>106</v>
      </c>
      <c r="H22" s="67">
        <v>310</v>
      </c>
      <c r="I22" s="65">
        <f t="shared" si="2"/>
        <v>9947.2800000000007</v>
      </c>
      <c r="J22" s="65">
        <f t="shared" si="0"/>
        <v>45828.54</v>
      </c>
      <c r="K22" s="86">
        <f t="shared" si="1"/>
        <v>61578.400000000001</v>
      </c>
    </row>
    <row r="23" spans="1:12" x14ac:dyDescent="0.4">
      <c r="A23" s="79" t="s">
        <v>124</v>
      </c>
      <c r="B23" s="68">
        <v>1.1000000000000001</v>
      </c>
      <c r="C23" s="68">
        <v>2.8</v>
      </c>
      <c r="D23" s="68"/>
      <c r="E23" s="64" t="s">
        <v>113</v>
      </c>
      <c r="F23" s="67"/>
      <c r="G23" s="69" t="s">
        <v>114</v>
      </c>
      <c r="H23" s="67"/>
      <c r="I23" s="65" t="str">
        <f t="shared" si="2"/>
        <v>-</v>
      </c>
      <c r="J23" s="65" t="str">
        <f t="shared" si="0"/>
        <v>-</v>
      </c>
      <c r="K23" s="86" t="str">
        <f t="shared" si="1"/>
        <v>-</v>
      </c>
    </row>
    <row r="24" spans="1:12" x14ac:dyDescent="0.4">
      <c r="A24" s="79" t="s">
        <v>125</v>
      </c>
      <c r="B24" s="68">
        <v>0.59</v>
      </c>
      <c r="C24" s="68">
        <v>1.5</v>
      </c>
      <c r="D24" s="68">
        <v>2.11</v>
      </c>
      <c r="E24" s="64" t="s">
        <v>105</v>
      </c>
      <c r="F24" s="67">
        <v>65.2</v>
      </c>
      <c r="G24" s="69" t="s">
        <v>106</v>
      </c>
      <c r="H24" s="67">
        <v>406</v>
      </c>
      <c r="I24" s="65">
        <f t="shared" si="2"/>
        <v>15618.007999999998</v>
      </c>
      <c r="J24" s="65">
        <f t="shared" si="0"/>
        <v>39706.800000000003</v>
      </c>
      <c r="K24" s="86">
        <f t="shared" si="1"/>
        <v>55854.232000000004</v>
      </c>
    </row>
    <row r="25" spans="1:12" x14ac:dyDescent="0.4">
      <c r="A25" s="82" t="s">
        <v>126</v>
      </c>
      <c r="B25" s="81">
        <v>0.51</v>
      </c>
      <c r="C25" s="81">
        <v>1.04</v>
      </c>
      <c r="D25" s="81">
        <v>1.35</v>
      </c>
      <c r="E25" s="82" t="s">
        <v>105</v>
      </c>
      <c r="F25" s="83"/>
      <c r="G25" s="197" t="s">
        <v>106</v>
      </c>
      <c r="H25" s="83"/>
      <c r="I25" s="198" t="str">
        <f t="shared" si="2"/>
        <v>-</v>
      </c>
      <c r="J25" s="198" t="str">
        <f t="shared" si="0"/>
        <v>-</v>
      </c>
      <c r="K25" s="199" t="str">
        <f t="shared" si="1"/>
        <v>-</v>
      </c>
    </row>
    <row r="26" spans="1:12" x14ac:dyDescent="0.4">
      <c r="A26" s="64"/>
      <c r="B26" s="64"/>
      <c r="C26" s="64"/>
      <c r="D26" s="118"/>
      <c r="E26" s="64"/>
      <c r="F26" s="63"/>
      <c r="G26" s="96" t="s">
        <v>290</v>
      </c>
      <c r="H26" s="66">
        <f>IF(SUM(H6:H25)=0,"-",(SUM(H6:H25)))</f>
        <v>1200</v>
      </c>
      <c r="I26" s="65">
        <f>IF(SUM(I6:I25)=0,"-",(SUM(I6:I25)))</f>
        <v>48924.652000000002</v>
      </c>
      <c r="J26" s="65">
        <f>IF(SUM(J6:J25)=0,"-",(SUM(J6:J25)))</f>
        <v>132031.88800000001</v>
      </c>
      <c r="K26" s="65">
        <f>IF(SUM(K6:K25)=0,"-",(SUM(K6:K25)))</f>
        <v>192782.04600000003</v>
      </c>
      <c r="L26" s="258"/>
    </row>
    <row r="27" spans="1:12" x14ac:dyDescent="0.4">
      <c r="A27" s="64"/>
      <c r="B27" s="64"/>
      <c r="C27" s="64"/>
      <c r="D27" s="118"/>
      <c r="E27" s="69"/>
      <c r="F27" s="64"/>
      <c r="G27" s="96" t="s">
        <v>177</v>
      </c>
      <c r="H27" s="64"/>
      <c r="I27" s="115">
        <f>IFERROR(I26/H26,0)</f>
        <v>40.770543333333336</v>
      </c>
      <c r="J27" s="115">
        <f>IFERROR(J26/H26,0)</f>
        <v>110.02657333333333</v>
      </c>
      <c r="K27" s="115">
        <f>IFERROR(K26/H26,0)</f>
        <v>160.65170500000002</v>
      </c>
      <c r="L27" s="258"/>
    </row>
    <row r="28" spans="1:12" x14ac:dyDescent="0.4">
      <c r="A28" s="64"/>
      <c r="B28" s="64"/>
      <c r="C28" s="64"/>
      <c r="D28" s="276"/>
      <c r="E28" s="273"/>
      <c r="F28" s="11"/>
      <c r="G28" s="275" t="s">
        <v>287</v>
      </c>
      <c r="H28" s="67"/>
      <c r="I28" s="274"/>
      <c r="J28" s="115"/>
      <c r="K28" s="115"/>
      <c r="L28" s="258"/>
    </row>
    <row r="29" spans="1:12" x14ac:dyDescent="0.4">
      <c r="A29" s="64"/>
      <c r="B29" s="64"/>
      <c r="C29" s="64"/>
      <c r="D29" s="118"/>
      <c r="E29" s="69"/>
      <c r="F29" s="64"/>
      <c r="G29" s="96" t="s">
        <v>288</v>
      </c>
      <c r="H29" s="285">
        <f>IFERROR((H28/H26),0)</f>
        <v>0</v>
      </c>
      <c r="I29" s="274"/>
      <c r="J29" s="115"/>
      <c r="K29" s="115"/>
      <c r="L29" s="258"/>
    </row>
    <row r="30" spans="1:12" x14ac:dyDescent="0.4">
      <c r="A30" s="64"/>
      <c r="B30" s="64"/>
      <c r="C30" s="64"/>
      <c r="D30" s="118"/>
      <c r="E30" s="64"/>
      <c r="F30" s="96"/>
      <c r="G30" s="96" t="s">
        <v>176</v>
      </c>
      <c r="H30" s="67"/>
      <c r="I30" s="117"/>
      <c r="J30" s="117"/>
      <c r="K30" s="117"/>
      <c r="L30" s="258"/>
    </row>
    <row r="31" spans="1:12" x14ac:dyDescent="0.4">
      <c r="A31" s="64"/>
      <c r="B31" s="64"/>
      <c r="C31" s="64"/>
      <c r="D31" s="118"/>
      <c r="E31" s="64"/>
      <c r="F31" s="96"/>
      <c r="G31" s="96" t="s">
        <v>178</v>
      </c>
      <c r="H31" s="383"/>
      <c r="I31" s="383"/>
      <c r="J31" s="383"/>
      <c r="K31" s="383"/>
      <c r="L31" s="258"/>
    </row>
    <row r="32" spans="1:12" x14ac:dyDescent="0.4">
      <c r="A32" s="64"/>
      <c r="B32" s="64"/>
      <c r="C32" s="64"/>
      <c r="D32" s="118"/>
      <c r="E32" s="64"/>
      <c r="F32" s="96"/>
      <c r="G32" s="96" t="s">
        <v>276</v>
      </c>
      <c r="H32" s="66">
        <f>SUM(H26,H30)</f>
        <v>1200</v>
      </c>
      <c r="I32" s="117"/>
      <c r="J32" s="117"/>
      <c r="K32" s="117"/>
      <c r="L32" s="258"/>
    </row>
    <row r="33" spans="1:12" ht="29.25" customHeight="1" x14ac:dyDescent="0.4">
      <c r="A33" s="116" t="s">
        <v>293</v>
      </c>
      <c r="B33" s="382" t="s">
        <v>292</v>
      </c>
      <c r="C33" s="382"/>
      <c r="D33" s="382"/>
      <c r="E33" s="382"/>
      <c r="F33" s="382"/>
      <c r="G33" s="382"/>
      <c r="H33" s="382"/>
      <c r="I33" s="382"/>
      <c r="J33" s="382"/>
      <c r="K33" s="382"/>
      <c r="L33" s="258"/>
    </row>
    <row r="34" spans="1:12" x14ac:dyDescent="0.4">
      <c r="A34" s="312"/>
      <c r="B34" s="312"/>
      <c r="C34" s="312"/>
      <c r="D34" s="313"/>
      <c r="E34" s="312"/>
      <c r="F34" s="312"/>
      <c r="G34" s="312"/>
      <c r="H34" s="312"/>
      <c r="I34" s="312"/>
      <c r="J34" s="312"/>
      <c r="K34" s="312"/>
    </row>
    <row r="35" spans="1:12" x14ac:dyDescent="0.4">
      <c r="A35" t="s">
        <v>294</v>
      </c>
    </row>
  </sheetData>
  <sheetProtection password="DD31" sheet="1" objects="1" scenarios="1"/>
  <protectedRanges>
    <protectedRange sqref="H6:H17" name="Acreage_2"/>
    <protectedRange sqref="F6:F17" name="Yield_3"/>
    <protectedRange sqref="H18:H25" name="Acreage"/>
    <protectedRange sqref="F19:F25" name="Yield"/>
    <protectedRange sqref="H30:H31" name="Additional Acres"/>
    <protectedRange sqref="H31:K31" name="Additional Acres Crop"/>
    <protectedRange sqref="H28" name="Hanover La Broquerie"/>
  </protectedRanges>
  <mergeCells count="5">
    <mergeCell ref="B33:K33"/>
    <mergeCell ref="H31:K31"/>
    <mergeCell ref="B3:C3"/>
    <mergeCell ref="I3:J3"/>
    <mergeCell ref="B2:K2"/>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65"/>
  <sheetViews>
    <sheetView tabSelected="1" workbookViewId="0">
      <pane ySplit="4" topLeftCell="A51" activePane="bottomLeft" state="frozenSplit"/>
      <selection pane="bottomLeft" activeCell="C44" sqref="C44"/>
    </sheetView>
  </sheetViews>
  <sheetFormatPr defaultColWidth="9.15234375" defaultRowHeight="14.6" x14ac:dyDescent="0.4"/>
  <cols>
    <col min="1" max="1" width="16.69140625" customWidth="1"/>
    <col min="2" max="2" width="51" customWidth="1"/>
  </cols>
  <sheetData>
    <row r="1" spans="1:4" x14ac:dyDescent="0.4">
      <c r="A1" s="63" t="s">
        <v>309</v>
      </c>
      <c r="B1" s="63"/>
      <c r="C1" s="64"/>
      <c r="D1" s="64"/>
    </row>
    <row r="2" spans="1:4" x14ac:dyDescent="0.4">
      <c r="A2" s="63" t="s">
        <v>304</v>
      </c>
      <c r="B2" s="386" t="str">
        <f>IF(ISTEXT('1a - Pigs'!B2), '1a - Pigs'!B2, IF(ISTEXT('1b - Beef'!B2),'1b - Beef'!B2, IF(ISTEXT('1c - Dairy'!B2),'1c - Dairy'!B2,IF(ISTEXT('1d - Sheep'!B2), '1d - Sheep'!B2, IF(ISTEXT('1e - Poultry'!B2),'1e - Poultry'!B2, "Enter the operation name on the livestock tab(s)")))))</f>
        <v>Unger Poultry</v>
      </c>
      <c r="C2" s="386"/>
      <c r="D2" s="64"/>
    </row>
    <row r="3" spans="1:4" ht="15" customHeight="1" x14ac:dyDescent="0.4">
      <c r="A3" s="73" t="s">
        <v>0</v>
      </c>
      <c r="B3" s="76" t="s">
        <v>162</v>
      </c>
      <c r="C3" s="119" t="s">
        <v>97</v>
      </c>
      <c r="D3" s="98" t="s">
        <v>33</v>
      </c>
    </row>
    <row r="4" spans="1:4" x14ac:dyDescent="0.4">
      <c r="A4" s="77"/>
      <c r="B4" s="78"/>
      <c r="C4" s="84" t="s">
        <v>127</v>
      </c>
      <c r="D4" s="85" t="s">
        <v>127</v>
      </c>
    </row>
    <row r="5" spans="1:4" ht="15" hidden="1" customHeight="1" x14ac:dyDescent="0.4">
      <c r="A5" s="389" t="s">
        <v>128</v>
      </c>
      <c r="B5" s="194" t="s">
        <v>79</v>
      </c>
      <c r="C5" s="65">
        <f>'1a - Pigs'!AQ5</f>
        <v>0</v>
      </c>
      <c r="D5" s="86">
        <f>'1a - Pigs'!BN5</f>
        <v>0</v>
      </c>
    </row>
    <row r="6" spans="1:4" hidden="1" x14ac:dyDescent="0.4">
      <c r="A6" s="390"/>
      <c r="B6" s="194" t="s">
        <v>80</v>
      </c>
      <c r="C6" s="65">
        <f>'1a - Pigs'!AQ6</f>
        <v>0</v>
      </c>
      <c r="D6" s="86">
        <f>'1a - Pigs'!BN6</f>
        <v>0</v>
      </c>
    </row>
    <row r="7" spans="1:4" hidden="1" x14ac:dyDescent="0.4">
      <c r="A7" s="390"/>
      <c r="B7" s="194" t="s">
        <v>243</v>
      </c>
      <c r="C7" s="65">
        <f>'1a - Pigs'!AQ7</f>
        <v>0</v>
      </c>
      <c r="D7" s="86">
        <f>'1a - Pigs'!BN7</f>
        <v>0</v>
      </c>
    </row>
    <row r="8" spans="1:4" hidden="1" x14ac:dyDescent="0.4">
      <c r="A8" s="390"/>
      <c r="B8" s="194" t="s">
        <v>266</v>
      </c>
      <c r="C8" s="65">
        <f>'1a - Pigs'!AQ8</f>
        <v>0</v>
      </c>
      <c r="D8" s="86">
        <f>'1a - Pigs'!BN8</f>
        <v>0</v>
      </c>
    </row>
    <row r="9" spans="1:4" hidden="1" x14ac:dyDescent="0.4">
      <c r="A9" s="390"/>
      <c r="B9" s="64" t="s">
        <v>265</v>
      </c>
      <c r="C9" s="65">
        <f>'1a - Pigs'!AQ9</f>
        <v>0</v>
      </c>
      <c r="D9" s="86">
        <f>'1a - Pigs'!BN9</f>
        <v>0</v>
      </c>
    </row>
    <row r="10" spans="1:4" hidden="1" x14ac:dyDescent="0.4">
      <c r="A10" s="390"/>
      <c r="B10" s="194" t="s">
        <v>81</v>
      </c>
      <c r="C10" s="65">
        <f>'1a - Pigs'!AQ10</f>
        <v>0</v>
      </c>
      <c r="D10" s="86">
        <f>'1a - Pigs'!BN10</f>
        <v>0</v>
      </c>
    </row>
    <row r="11" spans="1:4" x14ac:dyDescent="0.4">
      <c r="A11" s="390"/>
      <c r="B11" s="194" t="s">
        <v>82</v>
      </c>
      <c r="C11" s="65">
        <f>'1a - Pigs'!AQ11</f>
        <v>0</v>
      </c>
      <c r="D11" s="86">
        <f>'1a - Pigs'!BN11</f>
        <v>0</v>
      </c>
    </row>
    <row r="12" spans="1:4" x14ac:dyDescent="0.4">
      <c r="A12" s="390"/>
      <c r="B12" s="69" t="s">
        <v>394</v>
      </c>
      <c r="C12" s="65">
        <f>'1a - Pigs'!AQ13</f>
        <v>0</v>
      </c>
      <c r="D12" s="86">
        <f>'1a - Pigs'!BN13</f>
        <v>0</v>
      </c>
    </row>
    <row r="13" spans="1:4" x14ac:dyDescent="0.4">
      <c r="A13" s="390"/>
      <c r="B13" s="69" t="s">
        <v>146</v>
      </c>
      <c r="C13" s="65">
        <f>'1a - Pigs'!AQ14</f>
        <v>0</v>
      </c>
      <c r="D13" s="86">
        <f>'1a - Pigs'!BN14</f>
        <v>0</v>
      </c>
    </row>
    <row r="14" spans="1:4" x14ac:dyDescent="0.4">
      <c r="A14" s="390"/>
      <c r="B14" s="201" t="s">
        <v>4</v>
      </c>
      <c r="C14" s="65">
        <f>'1a - Pigs'!AQ16</f>
        <v>0</v>
      </c>
      <c r="D14" s="86">
        <f>'1a - Pigs'!BN16</f>
        <v>0</v>
      </c>
    </row>
    <row r="15" spans="1:4" x14ac:dyDescent="0.4">
      <c r="A15" s="390"/>
      <c r="B15" s="69" t="s">
        <v>5</v>
      </c>
      <c r="C15" s="65">
        <f>'1a - Pigs'!AQ17</f>
        <v>0</v>
      </c>
      <c r="D15" s="86">
        <f>'1a - Pigs'!BN17</f>
        <v>0</v>
      </c>
    </row>
    <row r="16" spans="1:4" x14ac:dyDescent="0.4">
      <c r="A16" s="391"/>
      <c r="B16" s="197" t="s">
        <v>6</v>
      </c>
      <c r="C16" s="198">
        <f>'1a - Pigs'!AQ18</f>
        <v>0</v>
      </c>
      <c r="D16" s="199">
        <f>'1a - Pigs'!BN18</f>
        <v>0</v>
      </c>
    </row>
    <row r="17" spans="1:4" ht="15" hidden="1" customHeight="1" x14ac:dyDescent="0.4">
      <c r="A17" s="392" t="s">
        <v>131</v>
      </c>
      <c r="B17" s="202" t="s">
        <v>214</v>
      </c>
      <c r="C17" s="195">
        <f>'1b - Beef'!AN5</f>
        <v>0</v>
      </c>
      <c r="D17" s="196">
        <f>'1b - Beef'!BG5</f>
        <v>0</v>
      </c>
    </row>
    <row r="18" spans="1:4" ht="15" hidden="1" customHeight="1" x14ac:dyDescent="0.4">
      <c r="A18" s="393"/>
      <c r="B18" s="64" t="s">
        <v>215</v>
      </c>
      <c r="C18" s="65">
        <f>'1b - Beef'!AN6</f>
        <v>0</v>
      </c>
      <c r="D18" s="86">
        <f>'1b - Beef'!BG6</f>
        <v>0</v>
      </c>
    </row>
    <row r="19" spans="1:4" ht="15" hidden="1" customHeight="1" x14ac:dyDescent="0.4">
      <c r="A19" s="393"/>
      <c r="B19" s="64" t="s">
        <v>216</v>
      </c>
      <c r="C19" s="65">
        <f>'1b - Beef'!AN7</f>
        <v>0</v>
      </c>
      <c r="D19" s="86">
        <f>'1b - Beef'!BG7</f>
        <v>0</v>
      </c>
    </row>
    <row r="20" spans="1:4" ht="15" hidden="1" customHeight="1" x14ac:dyDescent="0.4">
      <c r="A20" s="393"/>
      <c r="B20" s="64" t="s">
        <v>217</v>
      </c>
      <c r="C20" s="65">
        <f>'1b - Beef'!AN8</f>
        <v>0</v>
      </c>
      <c r="D20" s="86">
        <f>'1b - Beef'!BG8</f>
        <v>0</v>
      </c>
    </row>
    <row r="21" spans="1:4" ht="15" hidden="1" customHeight="1" x14ac:dyDescent="0.4">
      <c r="A21" s="393"/>
      <c r="B21" s="64" t="s">
        <v>17</v>
      </c>
      <c r="C21" s="65">
        <f>'1b - Beef'!AN9</f>
        <v>0</v>
      </c>
      <c r="D21" s="86">
        <f>'1b - Beef'!BG9</f>
        <v>0</v>
      </c>
    </row>
    <row r="22" spans="1:4" ht="15" customHeight="1" x14ac:dyDescent="0.4">
      <c r="A22" s="393"/>
      <c r="B22" s="64" t="s">
        <v>218</v>
      </c>
      <c r="C22" s="65">
        <f>'1b - Beef'!AN10</f>
        <v>0</v>
      </c>
      <c r="D22" s="86">
        <f>'1b - Beef'!BG10</f>
        <v>0</v>
      </c>
    </row>
    <row r="23" spans="1:4" ht="15" customHeight="1" x14ac:dyDescent="0.4">
      <c r="A23" s="393"/>
      <c r="B23" s="64" t="s">
        <v>219</v>
      </c>
      <c r="C23" s="65">
        <f>'1b - Beef'!AN12</f>
        <v>0</v>
      </c>
      <c r="D23" s="86">
        <f>'1b - Beef'!BG12</f>
        <v>0</v>
      </c>
    </row>
    <row r="24" spans="1:4" ht="15" customHeight="1" x14ac:dyDescent="0.4">
      <c r="A24" s="393"/>
      <c r="B24" s="64" t="s">
        <v>220</v>
      </c>
      <c r="C24" s="65">
        <f>'1b - Beef'!AN14</f>
        <v>0</v>
      </c>
      <c r="D24" s="86">
        <f>'1b - Beef'!BG14</f>
        <v>0</v>
      </c>
    </row>
    <row r="25" spans="1:4" ht="15" customHeight="1" x14ac:dyDescent="0.4">
      <c r="A25" s="393"/>
      <c r="B25" s="64" t="s">
        <v>221</v>
      </c>
      <c r="C25" s="65">
        <f>'1b - Beef'!AN15</f>
        <v>0</v>
      </c>
      <c r="D25" s="86">
        <f>'1b - Beef'!BG15</f>
        <v>0</v>
      </c>
    </row>
    <row r="26" spans="1:4" ht="15" customHeight="1" x14ac:dyDescent="0.4">
      <c r="A26" s="394"/>
      <c r="B26" s="82" t="s">
        <v>222</v>
      </c>
      <c r="C26" s="198">
        <f>'1b - Beef'!AN16</f>
        <v>0</v>
      </c>
      <c r="D26" s="199">
        <f>'1b - Beef'!BG16</f>
        <v>0</v>
      </c>
    </row>
    <row r="27" spans="1:4" x14ac:dyDescent="0.4">
      <c r="A27" s="389" t="s">
        <v>71</v>
      </c>
      <c r="B27" s="95" t="s">
        <v>73</v>
      </c>
      <c r="C27" s="65">
        <f>'1c - Dairy'!AM5</f>
        <v>0</v>
      </c>
      <c r="D27" s="196">
        <f>'1c - Dairy'!BG5</f>
        <v>0</v>
      </c>
    </row>
    <row r="28" spans="1:4" x14ac:dyDescent="0.4">
      <c r="A28" s="390"/>
      <c r="B28" s="366" t="s">
        <v>324</v>
      </c>
      <c r="C28" s="65">
        <f>'1c - Dairy'!AM6</f>
        <v>0</v>
      </c>
      <c r="D28" s="86">
        <f>'1c - Dairy'!BG6</f>
        <v>0</v>
      </c>
    </row>
    <row r="29" spans="1:4" x14ac:dyDescent="0.4">
      <c r="A29" s="390"/>
      <c r="B29" s="69" t="s">
        <v>74</v>
      </c>
      <c r="C29" s="65">
        <f>'1c - Dairy'!AM7</f>
        <v>0</v>
      </c>
      <c r="D29" s="86">
        <f>'1c - Dairy'!BG7</f>
        <v>0</v>
      </c>
    </row>
    <row r="30" spans="1:4" x14ac:dyDescent="0.4">
      <c r="A30" s="390"/>
      <c r="B30" s="69" t="s">
        <v>75</v>
      </c>
      <c r="C30" s="65">
        <f>'1c - Dairy'!AM8</f>
        <v>0</v>
      </c>
      <c r="D30" s="86">
        <f>'1c - Dairy'!BG8</f>
        <v>0</v>
      </c>
    </row>
    <row r="31" spans="1:4" x14ac:dyDescent="0.4">
      <c r="A31" s="390"/>
      <c r="B31" s="69" t="s">
        <v>76</v>
      </c>
      <c r="C31" s="65">
        <f>'1c - Dairy'!AM9</f>
        <v>0</v>
      </c>
      <c r="D31" s="86">
        <f>'1c - Dairy'!BG9</f>
        <v>0</v>
      </c>
    </row>
    <row r="32" spans="1:4" x14ac:dyDescent="0.4">
      <c r="A32" s="390"/>
      <c r="B32" s="69" t="s">
        <v>77</v>
      </c>
      <c r="C32" s="65">
        <f>'1c - Dairy'!AM10</f>
        <v>0</v>
      </c>
      <c r="D32" s="86">
        <f>'1c - Dairy'!BG10</f>
        <v>0</v>
      </c>
    </row>
    <row r="33" spans="1:5" x14ac:dyDescent="0.4">
      <c r="A33" s="391"/>
      <c r="B33" s="69" t="s">
        <v>72</v>
      </c>
      <c r="C33" s="65">
        <f>'1c - Dairy'!AM12</f>
        <v>0</v>
      </c>
      <c r="D33" s="86">
        <f>'1c - Dairy'!BG12</f>
        <v>0</v>
      </c>
    </row>
    <row r="34" spans="1:5" x14ac:dyDescent="0.4">
      <c r="A34" s="389" t="s">
        <v>3</v>
      </c>
      <c r="B34" s="95" t="s">
        <v>19</v>
      </c>
      <c r="C34" s="195">
        <f>'1d - Sheep'!S5</f>
        <v>0</v>
      </c>
      <c r="D34" s="196">
        <f>'1d - Sheep'!V5</f>
        <v>0</v>
      </c>
    </row>
    <row r="35" spans="1:5" x14ac:dyDescent="0.4">
      <c r="A35" s="390"/>
      <c r="B35" s="69" t="s">
        <v>22</v>
      </c>
      <c r="C35" s="65">
        <f>'1d - Sheep'!S6</f>
        <v>0</v>
      </c>
      <c r="D35" s="86">
        <f>'1d - Sheep'!V6</f>
        <v>0</v>
      </c>
    </row>
    <row r="36" spans="1:5" x14ac:dyDescent="0.4">
      <c r="A36" s="390"/>
      <c r="B36" s="69" t="s">
        <v>20</v>
      </c>
      <c r="C36" s="65">
        <f>'1d - Sheep'!S7</f>
        <v>0</v>
      </c>
      <c r="D36" s="86">
        <f>'1d - Sheep'!V7</f>
        <v>0</v>
      </c>
    </row>
    <row r="37" spans="1:5" x14ac:dyDescent="0.4">
      <c r="A37" s="390"/>
      <c r="B37" s="69" t="s">
        <v>21</v>
      </c>
      <c r="C37" s="65">
        <f>'1d - Sheep'!S8</f>
        <v>0</v>
      </c>
      <c r="D37" s="86">
        <f>'1d - Sheep'!V8</f>
        <v>0</v>
      </c>
    </row>
    <row r="38" spans="1:5" x14ac:dyDescent="0.4">
      <c r="A38" s="390"/>
      <c r="B38" s="69" t="s">
        <v>42</v>
      </c>
      <c r="C38" s="65">
        <f>'1d - Sheep'!S10</f>
        <v>0</v>
      </c>
      <c r="D38" s="86">
        <f>'1d - Sheep'!V10</f>
        <v>0</v>
      </c>
    </row>
    <row r="39" spans="1:5" x14ac:dyDescent="0.4">
      <c r="A39" s="391"/>
      <c r="B39" s="69" t="s">
        <v>18</v>
      </c>
      <c r="C39" s="198">
        <f>'1d - Sheep'!S11</f>
        <v>0</v>
      </c>
      <c r="D39" s="199">
        <f>'1d - Sheep'!V11</f>
        <v>0</v>
      </c>
    </row>
    <row r="40" spans="1:5" x14ac:dyDescent="0.4">
      <c r="A40" s="389" t="s">
        <v>26</v>
      </c>
      <c r="B40" s="203" t="s">
        <v>371</v>
      </c>
      <c r="C40" s="195">
        <f>'1e - Poultry'!AL5</f>
        <v>0</v>
      </c>
      <c r="D40" s="196">
        <f>'1e - Poultry'!BH5</f>
        <v>0</v>
      </c>
      <c r="E40" s="377"/>
    </row>
    <row r="41" spans="1:5" x14ac:dyDescent="0.4">
      <c r="A41" s="390"/>
      <c r="B41" s="204" t="s">
        <v>23</v>
      </c>
      <c r="C41" s="65">
        <f>'1e - Poultry'!AL6</f>
        <v>0</v>
      </c>
      <c r="D41" s="86">
        <f>'1e - Poultry'!BH6</f>
        <v>0</v>
      </c>
      <c r="E41" s="377"/>
    </row>
    <row r="42" spans="1:5" x14ac:dyDescent="0.4">
      <c r="A42" s="390"/>
      <c r="B42" s="69" t="s">
        <v>24</v>
      </c>
      <c r="C42" s="65">
        <f>'1e - Poultry'!AL7</f>
        <v>0</v>
      </c>
      <c r="D42" s="86">
        <f>'1e - Poultry'!BH7</f>
        <v>0</v>
      </c>
      <c r="E42" s="377"/>
    </row>
    <row r="43" spans="1:5" x14ac:dyDescent="0.4">
      <c r="A43" s="391"/>
      <c r="B43" s="204" t="s">
        <v>25</v>
      </c>
      <c r="C43" s="198">
        <f>'1e - Poultry'!AL8</f>
        <v>0</v>
      </c>
      <c r="D43" s="199">
        <f>'1e - Poultry'!BH8</f>
        <v>0</v>
      </c>
      <c r="E43" s="377"/>
    </row>
    <row r="44" spans="1:5" x14ac:dyDescent="0.4">
      <c r="A44" s="389" t="s">
        <v>132</v>
      </c>
      <c r="B44" s="95" t="s">
        <v>372</v>
      </c>
      <c r="C44" s="65">
        <f>'1e - Poultry'!AL10</f>
        <v>17166.779280000002</v>
      </c>
      <c r="D44" s="86">
        <f>'1e - Poultry'!BH10</f>
        <v>12397.180090400005</v>
      </c>
      <c r="E44" s="377"/>
    </row>
    <row r="45" spans="1:5" x14ac:dyDescent="0.4">
      <c r="A45" s="390"/>
      <c r="B45" s="69" t="s">
        <v>373</v>
      </c>
      <c r="C45" s="65">
        <f>'1e - Poultry'!AL11</f>
        <v>57151.232052480023</v>
      </c>
      <c r="D45" s="86">
        <f>'1e - Poultry'!BH11</f>
        <v>47271.825934477223</v>
      </c>
      <c r="E45" s="377"/>
    </row>
    <row r="46" spans="1:5" x14ac:dyDescent="0.4">
      <c r="A46" s="390"/>
      <c r="B46" s="69" t="s">
        <v>374</v>
      </c>
      <c r="C46" s="65">
        <f>'1e - Poultry'!AL12</f>
        <v>0</v>
      </c>
      <c r="D46" s="86">
        <f>'1e - Poultry'!BH12</f>
        <v>0</v>
      </c>
      <c r="E46" s="377"/>
    </row>
    <row r="47" spans="1:5" x14ac:dyDescent="0.4">
      <c r="A47" s="390"/>
      <c r="B47" s="69" t="s">
        <v>375</v>
      </c>
      <c r="C47" s="65">
        <f>'1e - Poultry'!AL13</f>
        <v>0</v>
      </c>
      <c r="D47" s="86">
        <f>'1e - Poultry'!BH13</f>
        <v>0</v>
      </c>
      <c r="E47" s="377"/>
    </row>
    <row r="48" spans="1:5" x14ac:dyDescent="0.4">
      <c r="A48" s="390"/>
      <c r="B48" s="69" t="s">
        <v>376</v>
      </c>
      <c r="C48" s="65">
        <f>'1e - Poultry'!AL15</f>
        <v>0</v>
      </c>
      <c r="D48" s="86">
        <f>'1e - Poultry'!BH15</f>
        <v>0</v>
      </c>
      <c r="E48" s="377"/>
    </row>
    <row r="49" spans="1:8" x14ac:dyDescent="0.4">
      <c r="A49" s="390"/>
      <c r="B49" s="69" t="s">
        <v>377</v>
      </c>
      <c r="C49" s="65">
        <f>'1e - Poultry'!AL16</f>
        <v>0</v>
      </c>
      <c r="D49" s="86">
        <f>'1e - Poultry'!BH16</f>
        <v>0</v>
      </c>
      <c r="E49" s="377"/>
    </row>
    <row r="50" spans="1:8" x14ac:dyDescent="0.4">
      <c r="A50" s="390"/>
      <c r="B50" s="69" t="s">
        <v>378</v>
      </c>
      <c r="C50" s="65">
        <f>'1e - Poultry'!AL17</f>
        <v>0</v>
      </c>
      <c r="D50" s="86">
        <f>'1e - Poultry'!BH17</f>
        <v>0</v>
      </c>
      <c r="E50" s="377"/>
    </row>
    <row r="51" spans="1:8" x14ac:dyDescent="0.4">
      <c r="A51" s="391"/>
      <c r="B51" s="69" t="s">
        <v>379</v>
      </c>
      <c r="C51" s="198">
        <f>'1e - Poultry'!AL18</f>
        <v>0</v>
      </c>
      <c r="D51" s="199">
        <f>'1e - Poultry'!BH18</f>
        <v>0</v>
      </c>
      <c r="E51" s="377"/>
    </row>
    <row r="52" spans="1:8" x14ac:dyDescent="0.4">
      <c r="A52" s="389" t="s">
        <v>129</v>
      </c>
      <c r="B52" s="354" t="s">
        <v>380</v>
      </c>
      <c r="C52" s="65">
        <f>'1e - Poultry'!AL20</f>
        <v>0</v>
      </c>
      <c r="D52" s="86">
        <f>'1e - Poultry'!BH20</f>
        <v>0</v>
      </c>
      <c r="E52" s="377"/>
    </row>
    <row r="53" spans="1:8" x14ac:dyDescent="0.4">
      <c r="A53" s="390"/>
      <c r="B53" s="355" t="s">
        <v>381</v>
      </c>
      <c r="C53" s="65">
        <f>'1e - Poultry'!AL21</f>
        <v>0</v>
      </c>
      <c r="D53" s="86">
        <f>'1e - Poultry'!BH21</f>
        <v>0</v>
      </c>
      <c r="E53" s="377"/>
    </row>
    <row r="54" spans="1:8" x14ac:dyDescent="0.4">
      <c r="A54" s="390"/>
      <c r="B54" s="355" t="s">
        <v>84</v>
      </c>
      <c r="C54" s="65">
        <f>'1e - Poultry'!AL22</f>
        <v>0</v>
      </c>
      <c r="D54" s="86">
        <f>'1e - Poultry'!BH22</f>
        <v>0</v>
      </c>
      <c r="E54" s="377"/>
    </row>
    <row r="55" spans="1:8" x14ac:dyDescent="0.4">
      <c r="A55" s="390"/>
      <c r="B55" s="355" t="s">
        <v>382</v>
      </c>
      <c r="C55" s="65">
        <f>'1e - Poultry'!AL23</f>
        <v>0</v>
      </c>
      <c r="D55" s="86">
        <f>'1e - Poultry'!BH23</f>
        <v>0</v>
      </c>
      <c r="E55" s="377"/>
    </row>
    <row r="56" spans="1:8" x14ac:dyDescent="0.4">
      <c r="A56" s="390"/>
      <c r="B56" s="355" t="s">
        <v>85</v>
      </c>
      <c r="C56" s="65">
        <f>'1e - Poultry'!AL24</f>
        <v>0</v>
      </c>
      <c r="D56" s="86">
        <f>'1e - Poultry'!BH24</f>
        <v>0</v>
      </c>
      <c r="E56" s="377"/>
    </row>
    <row r="57" spans="1:8" x14ac:dyDescent="0.4">
      <c r="A57" s="390"/>
      <c r="B57" s="355" t="s">
        <v>383</v>
      </c>
      <c r="C57" s="65">
        <f>'1e - Poultry'!AL25</f>
        <v>0</v>
      </c>
      <c r="D57" s="86">
        <f>'1e - Poultry'!BH25</f>
        <v>0</v>
      </c>
      <c r="E57" s="378"/>
    </row>
    <row r="58" spans="1:8" x14ac:dyDescent="0.4">
      <c r="A58" s="390"/>
      <c r="B58" s="355" t="s">
        <v>384</v>
      </c>
      <c r="C58" s="65">
        <f>'1e - Poultry'!AL26</f>
        <v>0</v>
      </c>
      <c r="D58" s="86">
        <f>'1e - Poultry'!BH26</f>
        <v>0</v>
      </c>
      <c r="E58" s="378"/>
    </row>
    <row r="59" spans="1:8" ht="14.5" customHeight="1" x14ac:dyDescent="0.4">
      <c r="A59" s="390"/>
      <c r="B59" s="355" t="s">
        <v>385</v>
      </c>
      <c r="C59" s="65">
        <f>'1e - Poultry'!AL27</f>
        <v>0</v>
      </c>
      <c r="D59" s="86">
        <f>'1e - Poultry'!BH27</f>
        <v>0</v>
      </c>
      <c r="E59" s="377"/>
    </row>
    <row r="60" spans="1:8" ht="14.5" customHeight="1" x14ac:dyDescent="0.4">
      <c r="A60" s="391"/>
      <c r="B60" s="356" t="s">
        <v>386</v>
      </c>
      <c r="C60" s="198">
        <f>'1e - Poultry'!AL28</f>
        <v>0</v>
      </c>
      <c r="D60" s="199">
        <f>'1e - Poultry'!BH28</f>
        <v>0</v>
      </c>
      <c r="E60" s="377"/>
      <c r="F60" s="200"/>
      <c r="G60" s="200"/>
      <c r="H60" s="200"/>
    </row>
    <row r="61" spans="1:8" x14ac:dyDescent="0.4">
      <c r="A61" s="64"/>
      <c r="B61" s="96" t="s">
        <v>32</v>
      </c>
      <c r="C61" s="357">
        <f>SUM(C5:C60)</f>
        <v>74318.011332480033</v>
      </c>
      <c r="D61" s="374">
        <f>SUM(D5:D60)</f>
        <v>59669.006024877228</v>
      </c>
      <c r="F61" s="200"/>
      <c r="G61" s="200"/>
      <c r="H61" s="200"/>
    </row>
    <row r="62" spans="1:8" x14ac:dyDescent="0.4">
      <c r="A62" s="388" t="s">
        <v>163</v>
      </c>
      <c r="B62" s="382" t="s">
        <v>278</v>
      </c>
      <c r="C62" s="382"/>
      <c r="D62" s="382"/>
    </row>
    <row r="63" spans="1:8" x14ac:dyDescent="0.4">
      <c r="A63" s="388"/>
      <c r="B63" s="382"/>
      <c r="C63" s="382"/>
      <c r="D63" s="382"/>
    </row>
    <row r="65" spans="1:1" x14ac:dyDescent="0.4">
      <c r="A65" t="s">
        <v>392</v>
      </c>
    </row>
  </sheetData>
  <sheetProtection password="DD31" sheet="1" objects="1" scenarios="1"/>
  <mergeCells count="10">
    <mergeCell ref="A62:A63"/>
    <mergeCell ref="B62:D63"/>
    <mergeCell ref="B2:C2"/>
    <mergeCell ref="A5:A16"/>
    <mergeCell ref="A17:A26"/>
    <mergeCell ref="A34:A39"/>
    <mergeCell ref="A40:A43"/>
    <mergeCell ref="A44:A51"/>
    <mergeCell ref="A52:A60"/>
    <mergeCell ref="A27:A3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C22"/>
  <sheetViews>
    <sheetView workbookViewId="0">
      <selection activeCell="B19" sqref="B19"/>
    </sheetView>
  </sheetViews>
  <sheetFormatPr defaultRowHeight="14.6" x14ac:dyDescent="0.4"/>
  <cols>
    <col min="1" max="1" width="45.84375" customWidth="1"/>
    <col min="2" max="2" width="43.84375" customWidth="1"/>
    <col min="3" max="3" width="16.69140625" bestFit="1" customWidth="1"/>
  </cols>
  <sheetData>
    <row r="1" spans="1:3" x14ac:dyDescent="0.4">
      <c r="A1" s="63" t="s">
        <v>310</v>
      </c>
      <c r="B1" s="302"/>
    </row>
    <row r="2" spans="1:3" x14ac:dyDescent="0.4">
      <c r="A2" s="63" t="s">
        <v>304</v>
      </c>
      <c r="B2" s="303" t="str">
        <f>IF(ISTEXT('1a - Pigs'!B2), '1a - Pigs'!B2, IF(ISTEXT('1b - Beef'!B2),'1b - Beef'!B2, IF(ISTEXT('1c - Dairy'!B2),'1c - Dairy'!B2,IF(ISTEXT('1d - Sheep'!B2), '1d - Sheep'!B2, IF(ISTEXT('1e - Poultry'!B2),'1e - Poultry'!B2, "Enter the operation name on the livestock tab(s)")))))</f>
        <v>Unger Poultry</v>
      </c>
    </row>
    <row r="3" spans="1:3" x14ac:dyDescent="0.4">
      <c r="A3" s="108" t="s">
        <v>167</v>
      </c>
      <c r="B3" s="109" t="s">
        <v>133</v>
      </c>
      <c r="C3" s="280"/>
    </row>
    <row r="4" spans="1:3" x14ac:dyDescent="0.4">
      <c r="A4" s="106" t="s">
        <v>29</v>
      </c>
      <c r="B4" s="86">
        <f>'3 - Farm Excretion'!C61</f>
        <v>74318.011332480033</v>
      </c>
    </row>
    <row r="5" spans="1:3" x14ac:dyDescent="0.4">
      <c r="A5" s="106" t="s">
        <v>315</v>
      </c>
      <c r="B5" s="86">
        <f>'3 - Farm Excretion'!D61</f>
        <v>59669.006024877228</v>
      </c>
    </row>
    <row r="6" spans="1:3" x14ac:dyDescent="0.4">
      <c r="A6" s="112"/>
      <c r="B6" s="113"/>
    </row>
    <row r="7" spans="1:3" x14ac:dyDescent="0.4">
      <c r="A7" s="107" t="s">
        <v>168</v>
      </c>
      <c r="B7" s="97" t="s">
        <v>134</v>
      </c>
    </row>
    <row r="8" spans="1:3" x14ac:dyDescent="0.4">
      <c r="A8" s="106" t="s">
        <v>395</v>
      </c>
      <c r="B8" s="101">
        <f>'2 - Crop Rotation'!K27</f>
        <v>160.65170500000002</v>
      </c>
    </row>
    <row r="9" spans="1:3" x14ac:dyDescent="0.4">
      <c r="A9" s="106" t="s">
        <v>396</v>
      </c>
      <c r="B9" s="101">
        <f>'2 - Crop Rotation'!I27</f>
        <v>40.770543333333336</v>
      </c>
    </row>
    <row r="10" spans="1:3" x14ac:dyDescent="0.4">
      <c r="A10" s="106" t="s">
        <v>439</v>
      </c>
      <c r="B10" s="101">
        <f>('2 - Crop Rotation'!H29*B9)+((1-'2 - Crop Rotation'!H29)*(B9*2))</f>
        <v>81.541086666666672</v>
      </c>
    </row>
    <row r="11" spans="1:3" x14ac:dyDescent="0.4">
      <c r="A11" s="112"/>
      <c r="B11" s="114"/>
    </row>
    <row r="12" spans="1:3" x14ac:dyDescent="0.4">
      <c r="A12" s="107" t="s">
        <v>291</v>
      </c>
      <c r="B12" s="86">
        <f>'2 - Crop Rotation'!H32</f>
        <v>1200</v>
      </c>
    </row>
    <row r="13" spans="1:3" x14ac:dyDescent="0.4">
      <c r="A13" s="112"/>
      <c r="B13" s="114"/>
    </row>
    <row r="14" spans="1:3" x14ac:dyDescent="0.4">
      <c r="A14" s="107" t="s">
        <v>314</v>
      </c>
      <c r="B14" s="105" t="s">
        <v>135</v>
      </c>
    </row>
    <row r="15" spans="1:3" x14ac:dyDescent="0.4">
      <c r="A15" s="106" t="s">
        <v>312</v>
      </c>
      <c r="B15" s="99">
        <f>IFERROR(B4/B8,"0")</f>
        <v>462.60331524324641</v>
      </c>
    </row>
    <row r="16" spans="1:3" x14ac:dyDescent="0.4">
      <c r="A16" s="106" t="s">
        <v>319</v>
      </c>
      <c r="B16" s="99">
        <f>IFERROR(B5/B10,"0")</f>
        <v>731.76613734373291</v>
      </c>
    </row>
    <row r="17" spans="1:2" x14ac:dyDescent="0.4">
      <c r="A17" s="277"/>
      <c r="B17" s="278"/>
    </row>
    <row r="18" spans="1:2" x14ac:dyDescent="0.4">
      <c r="A18" s="107" t="s">
        <v>289</v>
      </c>
      <c r="B18" s="105" t="s">
        <v>135</v>
      </c>
    </row>
    <row r="19" spans="1:2" x14ac:dyDescent="0.4">
      <c r="A19" s="106" t="s">
        <v>316</v>
      </c>
      <c r="B19" s="100">
        <f>IFERROR(B5/B9,"0")</f>
        <v>1463.5322746874658</v>
      </c>
    </row>
    <row r="20" spans="1:2" ht="63" customHeight="1" x14ac:dyDescent="0.4">
      <c r="A20" s="395" t="s">
        <v>397</v>
      </c>
      <c r="B20" s="395"/>
    </row>
    <row r="21" spans="1:2" x14ac:dyDescent="0.4">
      <c r="A21" s="396"/>
      <c r="B21" s="396"/>
    </row>
    <row r="22" spans="1:2" x14ac:dyDescent="0.4">
      <c r="A22" t="s">
        <v>392</v>
      </c>
    </row>
  </sheetData>
  <sheetProtection password="DD31" sheet="1" objects="1" scenarios="1"/>
  <mergeCells count="2">
    <mergeCell ref="A20:B20"/>
    <mergeCell ref="A21:B2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CA0BC35D38CE4997E1B96E7F9E5DCB" ma:contentTypeVersion="2" ma:contentTypeDescription="Create a new document." ma:contentTypeScope="" ma:versionID="3fa83fb0321b8dc77c603bcf1d375341">
  <xsd:schema xmlns:xsd="http://www.w3.org/2001/XMLSchema" xmlns:xs="http://www.w3.org/2001/XMLSchema" xmlns:p="http://schemas.microsoft.com/office/2006/metadata/properties" xmlns:ns1="http://schemas.microsoft.com/sharepoint/v3" targetNamespace="http://schemas.microsoft.com/office/2006/metadata/properties" ma:root="true" ma:fieldsID="507016f193f11c4059061ccd7e64691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135ED1-AB5A-47BB-85E2-3F41324FA85C}"/>
</file>

<file path=customXml/itemProps2.xml><?xml version="1.0" encoding="utf-8"?>
<ds:datastoreItem xmlns:ds="http://schemas.openxmlformats.org/officeDocument/2006/customXml" ds:itemID="{3810D50F-EC85-4721-97B7-01F2797BDD75}">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4FFBDDC-FB2B-4FE8-ABB0-435FEDC20A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1a - Pigs</vt:lpstr>
      <vt:lpstr>1b - Beef</vt:lpstr>
      <vt:lpstr>1c - Dairy</vt:lpstr>
      <vt:lpstr>1d - Sheep</vt:lpstr>
      <vt:lpstr>1e - Poultry</vt:lpstr>
      <vt:lpstr>2 - Crop Rotation</vt:lpstr>
      <vt:lpstr>3 - Farm Excretion</vt:lpstr>
      <vt:lpstr>4 - Land Base Summary</vt:lpstr>
      <vt:lpstr>Notes and Look Up</vt:lpstr>
      <vt:lpstr>Storages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Land Base Calculator</dc:title>
  <dc:creator>Loro, Petra (MAFRD);Sawka, Clay (AGR)</dc:creator>
  <cp:lastModifiedBy>Ric Kehler</cp:lastModifiedBy>
  <cp:lastPrinted>2019-11-27T17:37:38Z</cp:lastPrinted>
  <dcterms:created xsi:type="dcterms:W3CDTF">2014-08-20T18:46:04Z</dcterms:created>
  <dcterms:modified xsi:type="dcterms:W3CDTF">2024-10-18T13:08:39Z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0x01010059CA0BC35D38CE4997E1B96E7F9E5DCB</vt:lpwstr>
  </property>
</Properties>
</file>