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fidyk\Desktop\Events\2025-26\Retail Webinar Series\"/>
    </mc:Choice>
  </mc:AlternateContent>
  <xr:revisionPtr revIDLastSave="0" documentId="13_ncr:1_{8418EC25-456C-4BE4-BF92-663CA91A2A46}" xr6:coauthVersionLast="47" xr6:coauthVersionMax="47" xr10:uidLastSave="{00000000-0000-0000-0000-000000000000}"/>
  <bookViews>
    <workbookView xWindow="108" yWindow="48" windowWidth="22692" windowHeight="12096" activeTab="4" xr2:uid="{DD617760-609B-43EF-90A7-F15062805E0C}"/>
  </bookViews>
  <sheets>
    <sheet name="COGS" sheetId="8" r:id="rId1"/>
    <sheet name="WH gross Cost" sheetId="2" r:id="rId2"/>
    <sheet name="WH upcharge Cost" sheetId="1" r:id="rId3"/>
    <sheet name="WH gross Retail" sheetId="5" r:id="rId4"/>
    <sheet name="WH upcharge Retail" sheetId="7" r:id="rId5"/>
    <sheet name="COGS Example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 s="1"/>
  <c r="B16" i="1" s="1"/>
  <c r="B15" i="1" s="1"/>
  <c r="B13" i="1" s="1"/>
  <c r="B12" i="1" s="1"/>
  <c r="B11" i="1" s="1"/>
  <c r="B10" i="1" s="1"/>
  <c r="B8" i="1" s="1"/>
  <c r="B7" i="1" s="1"/>
  <c r="B6" i="1" s="1"/>
  <c r="B5" i="1" s="1"/>
  <c r="B18" i="2"/>
  <c r="B17" i="2" s="1"/>
  <c r="B16" i="2" s="1"/>
  <c r="B15" i="2" s="1"/>
  <c r="B13" i="2" s="1"/>
  <c r="B12" i="2" s="1"/>
  <c r="B11" i="2" s="1"/>
  <c r="B10" i="2" s="1"/>
  <c r="B8" i="2" s="1"/>
  <c r="B7" i="2" s="1"/>
  <c r="B6" i="2" s="1"/>
  <c r="B5" i="2" s="1"/>
  <c r="B18" i="7"/>
  <c r="B17" i="7" s="1"/>
  <c r="B16" i="7" s="1"/>
  <c r="B15" i="7" s="1"/>
  <c r="B13" i="7" s="1"/>
  <c r="B12" i="7" s="1"/>
  <c r="B11" i="7" s="1"/>
  <c r="B10" i="7" s="1"/>
  <c r="B8" i="7" s="1"/>
  <c r="B7" i="7" s="1"/>
  <c r="B6" i="7" s="1"/>
  <c r="B5" i="7" s="1"/>
  <c r="D37" i="9" l="1"/>
  <c r="C34" i="9"/>
  <c r="B33" i="9"/>
  <c r="C28" i="9"/>
  <c r="C26" i="9"/>
  <c r="C24" i="9"/>
  <c r="C29" i="9" s="1"/>
  <c r="C30" i="9" s="1"/>
  <c r="C36" i="9" s="1"/>
  <c r="C19" i="9"/>
  <c r="C35" i="9" s="1"/>
  <c r="E15" i="9"/>
  <c r="C8" i="9"/>
  <c r="C9" i="9" s="1"/>
  <c r="C12" i="9" s="1"/>
  <c r="D37" i="8"/>
  <c r="C26" i="8"/>
  <c r="C34" i="8"/>
  <c r="B33" i="8"/>
  <c r="C19" i="8"/>
  <c r="C35" i="8" s="1"/>
  <c r="C24" i="8"/>
  <c r="C29" i="8" s="1"/>
  <c r="C28" i="8"/>
  <c r="E15" i="8"/>
  <c r="C8" i="8"/>
  <c r="G5" i="7"/>
  <c r="D8" i="7" s="1"/>
  <c r="F11" i="7" s="1"/>
  <c r="G10" i="7" s="1"/>
  <c r="B8" i="5"/>
  <c r="B7" i="5"/>
  <c r="B6" i="5" s="1"/>
  <c r="B5" i="5" s="1"/>
  <c r="B13" i="5"/>
  <c r="B12" i="5" s="1"/>
  <c r="B11" i="5" s="1"/>
  <c r="B10" i="5" s="1"/>
  <c r="B16" i="5"/>
  <c r="B15" i="5" s="1"/>
  <c r="B18" i="5"/>
  <c r="B17" i="5"/>
  <c r="C37" i="9" l="1"/>
  <c r="D35" i="9" s="1"/>
  <c r="C33" i="9"/>
  <c r="C30" i="8"/>
  <c r="C36" i="8" s="1"/>
  <c r="C9" i="8"/>
  <c r="C12" i="8" s="1"/>
  <c r="C37" i="8" s="1"/>
  <c r="D13" i="7"/>
  <c r="F16" i="7" s="1"/>
  <c r="G15" i="7" s="1"/>
  <c r="D18" i="7" s="1"/>
  <c r="F21" i="7" s="1"/>
  <c r="D23" i="1" l="1"/>
  <c r="D23" i="2"/>
  <c r="D34" i="8"/>
  <c r="D35" i="8"/>
  <c r="D36" i="8"/>
  <c r="D33" i="9"/>
  <c r="D34" i="9"/>
  <c r="D36" i="9"/>
  <c r="C33" i="8"/>
  <c r="D33" i="8" s="1"/>
  <c r="G20" i="7"/>
  <c r="D23" i="7" s="1"/>
  <c r="F21" i="2" l="1"/>
  <c r="F21" i="1"/>
  <c r="G20" i="1" s="1"/>
  <c r="D18" i="2" l="1"/>
  <c r="F16" i="2" s="1"/>
  <c r="G15" i="2" s="1"/>
  <c r="G20" i="2"/>
  <c r="D18" i="1"/>
  <c r="F16" i="1" s="1"/>
  <c r="D13" i="2" l="1"/>
  <c r="F11" i="2" s="1"/>
  <c r="D8" i="2" s="1"/>
  <c r="F6" i="2" s="1"/>
  <c r="G5" i="2" s="1"/>
  <c r="D13" i="1"/>
  <c r="F11" i="1" s="1"/>
  <c r="G15" i="1"/>
  <c r="G10" i="2" l="1"/>
  <c r="D8" i="1"/>
  <c r="F6" i="1" s="1"/>
  <c r="G5" i="1" s="1"/>
  <c r="G10" i="1"/>
  <c r="G5" i="5" l="1"/>
  <c r="D8" i="5" s="1"/>
  <c r="F11" i="5" s="1"/>
  <c r="G10" i="5" l="1"/>
  <c r="D13" i="5"/>
  <c r="F16" i="5" s="1"/>
  <c r="G15" i="5" l="1"/>
  <c r="D18" i="5" s="1"/>
  <c r="F21" i="5" s="1"/>
  <c r="G20" i="5" l="1"/>
  <c r="D23" i="5"/>
</calcChain>
</file>

<file path=xl/sharedStrings.xml><?xml version="1.0" encoding="utf-8"?>
<sst xmlns="http://schemas.openxmlformats.org/spreadsheetml/2006/main" count="261" uniqueCount="101">
  <si>
    <t>Item</t>
  </si>
  <si>
    <t>Cost</t>
  </si>
  <si>
    <t>Profit</t>
  </si>
  <si>
    <t>Formula</t>
  </si>
  <si>
    <t>Retailer profit</t>
  </si>
  <si>
    <t>Retail selling price</t>
  </si>
  <si>
    <t>Retailer cost / (1- retail margin)</t>
  </si>
  <si>
    <t>Retail gross margin</t>
  </si>
  <si>
    <t>Retailer cost</t>
  </si>
  <si>
    <t>Wholesaler profit</t>
  </si>
  <si>
    <t>Wholesale selling price - NSP</t>
  </si>
  <si>
    <t>Wholesale selling price</t>
  </si>
  <si>
    <t>Net selling price * upcharge + NSP</t>
  </si>
  <si>
    <t>Net selling price</t>
  </si>
  <si>
    <t>Marketing funds</t>
  </si>
  <si>
    <t>Net selling price - base selling price</t>
  </si>
  <si>
    <t>Base selling price / (1 - 15%)</t>
  </si>
  <si>
    <t>Base selling price</t>
  </si>
  <si>
    <t>Your gross profit</t>
  </si>
  <si>
    <t>Price - COGS</t>
  </si>
  <si>
    <t>COGS / (1 - gross margin 45%)</t>
  </si>
  <si>
    <t>Your gross margin % of selling price</t>
  </si>
  <si>
    <t>Your COGS</t>
  </si>
  <si>
    <t>Marketing funds % of net selling price</t>
  </si>
  <si>
    <r>
      <t xml:space="preserve">Wholesale </t>
    </r>
    <r>
      <rPr>
        <b/>
        <sz val="11"/>
        <color theme="1"/>
        <rFont val="Aptos Narrow"/>
        <family val="2"/>
        <scheme val="minor"/>
      </rPr>
      <t>gross</t>
    </r>
    <r>
      <rPr>
        <sz val="11"/>
        <color theme="1"/>
        <rFont val="Aptos Narrow"/>
        <family val="2"/>
        <scheme val="minor"/>
      </rPr>
      <t xml:space="preserve"> % of your </t>
    </r>
    <r>
      <rPr>
        <b/>
        <sz val="11"/>
        <color theme="1"/>
        <rFont val="Aptos Narrow"/>
        <family val="2"/>
        <scheme val="minor"/>
      </rPr>
      <t>wholesale</t>
    </r>
    <r>
      <rPr>
        <sz val="11"/>
        <color theme="1"/>
        <rFont val="Aptos Narrow"/>
        <family val="2"/>
        <scheme val="minor"/>
      </rPr>
      <t xml:space="preserve"> selling price</t>
    </r>
  </si>
  <si>
    <r>
      <t xml:space="preserve">Wholesale </t>
    </r>
    <r>
      <rPr>
        <b/>
        <sz val="11"/>
        <color theme="1"/>
        <rFont val="Aptos Narrow"/>
        <family val="2"/>
        <scheme val="minor"/>
      </rPr>
      <t>upcharge</t>
    </r>
    <r>
      <rPr>
        <sz val="11"/>
        <color theme="1"/>
        <rFont val="Aptos Narrow"/>
        <family val="2"/>
        <scheme val="minor"/>
      </rPr>
      <t xml:space="preserve"> % of your </t>
    </r>
    <r>
      <rPr>
        <b/>
        <sz val="11"/>
        <color theme="1"/>
        <rFont val="Aptos Narrow"/>
        <family val="2"/>
        <scheme val="minor"/>
      </rPr>
      <t>net</t>
    </r>
    <r>
      <rPr>
        <sz val="11"/>
        <color theme="1"/>
        <rFont val="Aptos Narrow"/>
        <family val="2"/>
        <scheme val="minor"/>
      </rPr>
      <t xml:space="preserve"> selling price</t>
    </r>
  </si>
  <si>
    <t>Net selling price / (1 - 20%)</t>
  </si>
  <si>
    <t>Gross Margin</t>
  </si>
  <si>
    <t>Gross / Upcharge</t>
  </si>
  <si>
    <t>Selling Price</t>
  </si>
  <si>
    <t>Retail selling price * Retail GM</t>
  </si>
  <si>
    <t>Retail selling price - Retailer profit</t>
  </si>
  <si>
    <t>Wholesale selling price * WH gross %</t>
  </si>
  <si>
    <t>Line</t>
  </si>
  <si>
    <t>Carried from line 13 above</t>
  </si>
  <si>
    <t>Wholesale selling price - WH profit</t>
  </si>
  <si>
    <t>Net selling price * marketing funds %</t>
  </si>
  <si>
    <t>Carried from line 9 above</t>
  </si>
  <si>
    <t>Net selling price - marketing funds</t>
  </si>
  <si>
    <t>Base selling price * Your gross margin%</t>
  </si>
  <si>
    <t>Carried from line 5 above</t>
  </si>
  <si>
    <t>Base selling price - your gross profit</t>
  </si>
  <si>
    <t>Convert MU to GM * WH selling price</t>
  </si>
  <si>
    <t>Amount</t>
  </si>
  <si>
    <t>Comments</t>
  </si>
  <si>
    <t>Total ingredient cost per batch</t>
  </si>
  <si>
    <t>You enter this amount and the others that are highlighted</t>
  </si>
  <si>
    <t>Total weight of batch in kg</t>
  </si>
  <si>
    <t>kg</t>
  </si>
  <si>
    <t>Total weight of batch in g</t>
  </si>
  <si>
    <t>Calculated for you</t>
  </si>
  <si>
    <t>Food cost per 100 g/ml</t>
  </si>
  <si>
    <t>This is a key number to experiment with to see how it impacts your retail below</t>
  </si>
  <si>
    <t>Total food cost</t>
  </si>
  <si>
    <t>Direct labour calculation</t>
  </si>
  <si>
    <t>Units</t>
  </si>
  <si>
    <t>minutes</t>
  </si>
  <si>
    <t>Yield per batch</t>
  </si>
  <si>
    <t>units</t>
  </si>
  <si>
    <t>Wage rate / hour</t>
  </si>
  <si>
    <t>Wage rate / minute</t>
  </si>
  <si>
    <t>Cost of individual package/jar/bag</t>
  </si>
  <si>
    <t>Label/security seal for individual package</t>
  </si>
  <si>
    <t>Each of these items is PER UNIT of sale</t>
  </si>
  <si>
    <t xml:space="preserve">Corrugate box divided by number of units per box. </t>
  </si>
  <si>
    <t>Total cost to make &amp; package product</t>
  </si>
  <si>
    <t>If you know your COGS you can over ride this section by entering your COGS in orange box</t>
  </si>
  <si>
    <t>Cost of Goods Sold (COGS)</t>
  </si>
  <si>
    <t>Product name/flavour</t>
  </si>
  <si>
    <t xml:space="preserve">Time to scale, mix, portion batch </t>
  </si>
  <si>
    <t>Time to package, label, case pack batch</t>
  </si>
  <si>
    <t>Total labour time</t>
  </si>
  <si>
    <t>Time per retail package</t>
  </si>
  <si>
    <t>retail packages</t>
  </si>
  <si>
    <t>Cost of shipping carton each</t>
  </si>
  <si>
    <t>Number of retail packages per carton</t>
  </si>
  <si>
    <t>Share of shipping carton per package</t>
  </si>
  <si>
    <t>Ingredient cost</t>
  </si>
  <si>
    <t>hour</t>
  </si>
  <si>
    <t>per unit</t>
  </si>
  <si>
    <t>Food weight for each unit</t>
  </si>
  <si>
    <t>Number of units per package</t>
  </si>
  <si>
    <t>Packaging cost</t>
  </si>
  <si>
    <t>each</t>
  </si>
  <si>
    <t>COGS Summary</t>
  </si>
  <si>
    <t>grams/ml</t>
  </si>
  <si>
    <t>Unit packaging</t>
  </si>
  <si>
    <t>Share of shipping carton</t>
  </si>
  <si>
    <t>Direct labour</t>
  </si>
  <si>
    <t>Yield number of retail packages</t>
  </si>
  <si>
    <t>Wage cost per retail unit</t>
  </si>
  <si>
    <t>per minute</t>
  </si>
  <si>
    <t xml:space="preserve">Strawberry muffins </t>
  </si>
  <si>
    <t>Automatically filled from COGS</t>
  </si>
  <si>
    <t>Ratio to total cost</t>
  </si>
  <si>
    <t>Determine wholesale and retail selling prices based on your COGS - wholesale is taking a gross margin</t>
  </si>
  <si>
    <t xml:space="preserve">Determine wholesale and retail selling prices based on your COGS - wholesale is taking an upcharge </t>
  </si>
  <si>
    <t xml:space="preserve">Determine wholesale and retail selling prices necessary to reach a TARGET RETAIL PRICE - wholesale is taking an upcharge </t>
  </si>
  <si>
    <t>Determine wholesale and retail selling prices necessary to reach a TARGET RETAIL PRICE - wholesale pricing based on gross margin</t>
  </si>
  <si>
    <t>Suggest you keep this example as-is in case you forget what should go in the yellow boxes</t>
  </si>
  <si>
    <t>For all other numbers, your COGS needs to be…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</si>
</sst>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%"/>
    <numFmt numFmtId="166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64" fontId="1" fillId="0" borderId="1" xfId="2" applyNumberFormat="1" applyFont="1" applyFill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165" fontId="1" fillId="0" borderId="1" xfId="3" applyNumberFormat="1" applyFont="1" applyFill="1" applyBorder="1" applyAlignment="1" applyProtection="1">
      <alignment vertical="top"/>
      <protection locked="0"/>
    </xf>
    <xf numFmtId="165" fontId="0" fillId="0" borderId="1" xfId="3" applyNumberFormat="1" applyFon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165" fontId="1" fillId="2" borderId="1" xfId="3" applyNumberFormat="1" applyFont="1" applyFill="1" applyBorder="1" applyAlignment="1" applyProtection="1">
      <alignment vertical="top"/>
      <protection locked="0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165" fontId="1" fillId="2" borderId="2" xfId="3" applyNumberFormat="1" applyFont="1" applyFill="1" applyBorder="1" applyAlignment="1" applyProtection="1">
      <alignment vertical="top"/>
      <protection locked="0"/>
    </xf>
    <xf numFmtId="164" fontId="3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1" fillId="4" borderId="1" xfId="3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/>
    </xf>
    <xf numFmtId="166" fontId="0" fillId="0" borderId="1" xfId="1" applyNumberFormat="1" applyFont="1" applyBorder="1" applyAlignment="1">
      <alignment vertical="top" wrapText="1"/>
    </xf>
    <xf numFmtId="164" fontId="0" fillId="2" borderId="1" xfId="0" applyNumberForma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" fontId="0" fillId="2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3" xfId="0" applyBorder="1" applyAlignment="1">
      <alignment vertical="top"/>
    </xf>
    <xf numFmtId="164" fontId="0" fillId="2" borderId="3" xfId="0" applyNumberFormat="1" applyFill="1" applyBorder="1" applyAlignment="1">
      <alignment horizontal="center" vertical="top"/>
    </xf>
    <xf numFmtId="2" fontId="0" fillId="0" borderId="1" xfId="0" applyNumberFormat="1" applyBorder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164" fontId="0" fillId="3" borderId="1" xfId="0" applyNumberFormat="1" applyFill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165" fontId="0" fillId="0" borderId="1" xfId="3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A383-36D6-4821-A3E1-085B4FBB4260}">
  <dimension ref="B1:E38"/>
  <sheetViews>
    <sheetView topLeftCell="A25" zoomScale="134" zoomScaleNormal="134" workbookViewId="0">
      <selection activeCell="H7" sqref="H7"/>
    </sheetView>
  </sheetViews>
  <sheetFormatPr defaultRowHeight="14.4" x14ac:dyDescent="0.3"/>
  <cols>
    <col min="1" max="1" width="8.88671875" style="4"/>
    <col min="2" max="2" width="35.21875" style="4" customWidth="1"/>
    <col min="3" max="3" width="8.88671875" style="4"/>
    <col min="4" max="4" width="17.6640625" style="4" customWidth="1"/>
    <col min="5" max="5" width="34.77734375" style="4" customWidth="1"/>
    <col min="6" max="16384" width="8.88671875" style="4"/>
  </cols>
  <sheetData>
    <row r="1" spans="2:5" ht="18" x14ac:dyDescent="0.3">
      <c r="B1" s="30" t="s">
        <v>67</v>
      </c>
    </row>
    <row r="3" spans="2:5" x14ac:dyDescent="0.3">
      <c r="B3" s="2" t="s">
        <v>68</v>
      </c>
      <c r="C3" s="46" t="s">
        <v>92</v>
      </c>
      <c r="D3" s="46"/>
    </row>
    <row r="5" spans="2:5" x14ac:dyDescent="0.3">
      <c r="B5" s="2" t="s">
        <v>77</v>
      </c>
      <c r="C5" s="25" t="s">
        <v>43</v>
      </c>
      <c r="D5" s="2" t="s">
        <v>55</v>
      </c>
      <c r="E5" s="1" t="s">
        <v>44</v>
      </c>
    </row>
    <row r="6" spans="2:5" x14ac:dyDescent="0.3">
      <c r="B6" s="26" t="s">
        <v>45</v>
      </c>
      <c r="C6" s="11">
        <v>110.58</v>
      </c>
      <c r="D6" s="5"/>
      <c r="E6" s="4" t="s">
        <v>46</v>
      </c>
    </row>
    <row r="7" spans="2:5" x14ac:dyDescent="0.3">
      <c r="B7" s="26" t="s">
        <v>47</v>
      </c>
      <c r="C7" s="27">
        <v>26.4</v>
      </c>
      <c r="D7" s="5" t="s">
        <v>48</v>
      </c>
    </row>
    <row r="8" spans="2:5" x14ac:dyDescent="0.3">
      <c r="B8" s="26" t="s">
        <v>49</v>
      </c>
      <c r="C8" s="28">
        <f>+C7*1000</f>
        <v>26400</v>
      </c>
      <c r="D8" s="5"/>
      <c r="E8" s="4" t="s">
        <v>50</v>
      </c>
    </row>
    <row r="9" spans="2:5" x14ac:dyDescent="0.3">
      <c r="B9" s="5" t="s">
        <v>51</v>
      </c>
      <c r="C9" s="7">
        <f>+C6/C8*100</f>
        <v>0.41886363636363638</v>
      </c>
      <c r="D9" s="5"/>
      <c r="E9" s="4" t="s">
        <v>50</v>
      </c>
    </row>
    <row r="10" spans="2:5" x14ac:dyDescent="0.3">
      <c r="B10" s="26" t="s">
        <v>80</v>
      </c>
      <c r="C10" s="27">
        <v>85</v>
      </c>
      <c r="D10" s="5" t="s">
        <v>85</v>
      </c>
      <c r="E10" s="4" t="s">
        <v>52</v>
      </c>
    </row>
    <row r="11" spans="2:5" x14ac:dyDescent="0.3">
      <c r="B11" s="26" t="s">
        <v>81</v>
      </c>
      <c r="C11" s="27">
        <v>4</v>
      </c>
      <c r="D11" s="5"/>
    </row>
    <row r="12" spans="2:5" x14ac:dyDescent="0.3">
      <c r="B12" s="5" t="s">
        <v>53</v>
      </c>
      <c r="C12" s="7">
        <f>+ROUND(C10/100*C9*C11,2)</f>
        <v>1.42</v>
      </c>
      <c r="D12" s="5"/>
      <c r="E12" s="4" t="s">
        <v>50</v>
      </c>
    </row>
    <row r="14" spans="2:5" x14ac:dyDescent="0.3">
      <c r="B14" s="2" t="s">
        <v>82</v>
      </c>
      <c r="C14" s="2" t="s">
        <v>43</v>
      </c>
      <c r="D14" s="2" t="s">
        <v>55</v>
      </c>
    </row>
    <row r="15" spans="2:5" x14ac:dyDescent="0.3">
      <c r="B15" s="36" t="s">
        <v>61</v>
      </c>
      <c r="C15" s="37">
        <v>8.6999999999999994E-2</v>
      </c>
      <c r="D15" s="5" t="s">
        <v>83</v>
      </c>
      <c r="E15" s="4" t="str">
        <f>+"This is the cost of the container that holds the "&amp;$C$10&amp;" g/ml of "&amp;$C$3</f>
        <v xml:space="preserve">This is the cost of the container that holds the 85 g/ml of Strawberry muffins </v>
      </c>
    </row>
    <row r="16" spans="2:5" x14ac:dyDescent="0.3">
      <c r="B16" s="5" t="s">
        <v>62</v>
      </c>
      <c r="C16" s="29">
        <v>0.02</v>
      </c>
      <c r="D16" s="5" t="s">
        <v>83</v>
      </c>
      <c r="E16" s="4" t="s">
        <v>63</v>
      </c>
    </row>
    <row r="17" spans="2:5" x14ac:dyDescent="0.3">
      <c r="B17" s="5" t="s">
        <v>74</v>
      </c>
      <c r="C17" s="29">
        <v>0.68</v>
      </c>
      <c r="D17" s="5" t="s">
        <v>83</v>
      </c>
    </row>
    <row r="18" spans="2:5" x14ac:dyDescent="0.3">
      <c r="B18" s="5" t="s">
        <v>75</v>
      </c>
      <c r="C18" s="34">
        <v>24</v>
      </c>
      <c r="D18" s="5"/>
      <c r="E18" s="4" t="s">
        <v>64</v>
      </c>
    </row>
    <row r="19" spans="2:5" x14ac:dyDescent="0.3">
      <c r="B19" s="5" t="s">
        <v>76</v>
      </c>
      <c r="C19" s="35">
        <f>+C17/C18</f>
        <v>2.8333333333333335E-2</v>
      </c>
      <c r="D19" s="5"/>
    </row>
    <row r="21" spans="2:5" x14ac:dyDescent="0.3">
      <c r="B21" s="2" t="s">
        <v>54</v>
      </c>
      <c r="C21" s="25" t="s">
        <v>43</v>
      </c>
      <c r="D21" s="2" t="s">
        <v>55</v>
      </c>
    </row>
    <row r="22" spans="2:5" x14ac:dyDescent="0.3">
      <c r="B22" s="5" t="s">
        <v>69</v>
      </c>
      <c r="C22" s="27">
        <v>15</v>
      </c>
      <c r="D22" s="5" t="s">
        <v>56</v>
      </c>
    </row>
    <row r="23" spans="2:5" x14ac:dyDescent="0.3">
      <c r="B23" s="5" t="s">
        <v>70</v>
      </c>
      <c r="C23" s="27">
        <v>20</v>
      </c>
      <c r="D23" s="5" t="s">
        <v>56</v>
      </c>
    </row>
    <row r="24" spans="2:5" x14ac:dyDescent="0.3">
      <c r="B24" s="5" t="s">
        <v>71</v>
      </c>
      <c r="C24" s="5">
        <f>+C23+C22</f>
        <v>35</v>
      </c>
      <c r="D24" s="5" t="s">
        <v>56</v>
      </c>
    </row>
    <row r="25" spans="2:5" x14ac:dyDescent="0.3">
      <c r="B25" s="5" t="s">
        <v>57</v>
      </c>
      <c r="C25" s="27">
        <v>172</v>
      </c>
      <c r="D25" s="5" t="s">
        <v>58</v>
      </c>
    </row>
    <row r="26" spans="2:5" x14ac:dyDescent="0.3">
      <c r="B26" s="5" t="s">
        <v>89</v>
      </c>
      <c r="C26" s="5">
        <f>+C25/C11</f>
        <v>43</v>
      </c>
      <c r="D26" s="5" t="s">
        <v>73</v>
      </c>
    </row>
    <row r="27" spans="2:5" x14ac:dyDescent="0.3">
      <c r="B27" s="5" t="s">
        <v>59</v>
      </c>
      <c r="C27" s="11">
        <v>18</v>
      </c>
      <c r="D27" s="5" t="s">
        <v>78</v>
      </c>
    </row>
    <row r="28" spans="2:5" x14ac:dyDescent="0.3">
      <c r="B28" s="5" t="s">
        <v>60</v>
      </c>
      <c r="C28" s="7">
        <f>+C27/60</f>
        <v>0.3</v>
      </c>
      <c r="D28" s="5" t="s">
        <v>91</v>
      </c>
    </row>
    <row r="29" spans="2:5" x14ac:dyDescent="0.3">
      <c r="B29" s="5" t="s">
        <v>72</v>
      </c>
      <c r="C29" s="38">
        <f>ROUND(C24/C25*C11,2)</f>
        <v>0.81</v>
      </c>
      <c r="D29" s="5" t="s">
        <v>56</v>
      </c>
    </row>
    <row r="30" spans="2:5" x14ac:dyDescent="0.3">
      <c r="B30" s="5" t="s">
        <v>90</v>
      </c>
      <c r="C30" s="7">
        <f>+C29*C28</f>
        <v>0.24299999999999999</v>
      </c>
      <c r="D30" s="5" t="s">
        <v>79</v>
      </c>
    </row>
    <row r="32" spans="2:5" x14ac:dyDescent="0.3">
      <c r="B32" s="2" t="s">
        <v>84</v>
      </c>
      <c r="C32" s="2" t="s">
        <v>43</v>
      </c>
      <c r="D32" s="2" t="s">
        <v>94</v>
      </c>
    </row>
    <row r="33" spans="2:5" x14ac:dyDescent="0.3">
      <c r="B33" s="5" t="str">
        <f>+"Food cost per "&amp;C11&amp;"/"&amp;C10&amp;" "&amp;D10&amp;" pkg"</f>
        <v>Food cost per 4/85 grams/ml pkg</v>
      </c>
      <c r="C33" s="7">
        <f>+C12</f>
        <v>1.42</v>
      </c>
      <c r="D33" s="43">
        <f>+C33/$C$37</f>
        <v>0.78962001853568109</v>
      </c>
    </row>
    <row r="34" spans="2:5" x14ac:dyDescent="0.3">
      <c r="B34" s="5" t="s">
        <v>86</v>
      </c>
      <c r="C34" s="7">
        <f>+SUM(C15,C16)</f>
        <v>0.107</v>
      </c>
      <c r="D34" s="43">
        <f t="shared" ref="D34:D36" si="0">+C34/$C$37</f>
        <v>5.9499536607970339E-2</v>
      </c>
    </row>
    <row r="35" spans="2:5" x14ac:dyDescent="0.3">
      <c r="B35" s="5" t="s">
        <v>87</v>
      </c>
      <c r="C35" s="7">
        <f>+C19</f>
        <v>2.8333333333333335E-2</v>
      </c>
      <c r="D35" s="43">
        <f t="shared" si="0"/>
        <v>1.5755329008341059E-2</v>
      </c>
    </row>
    <row r="36" spans="2:5" x14ac:dyDescent="0.3">
      <c r="B36" s="5" t="s">
        <v>88</v>
      </c>
      <c r="C36" s="7">
        <f>+C30</f>
        <v>0.24299999999999999</v>
      </c>
      <c r="D36" s="43">
        <f t="shared" si="0"/>
        <v>0.1351251158480074</v>
      </c>
    </row>
    <row r="37" spans="2:5" x14ac:dyDescent="0.3">
      <c r="B37" s="2" t="s">
        <v>65</v>
      </c>
      <c r="C37" s="42">
        <f>SUM(C12,C15,C16,C19,C30)</f>
        <v>1.7983333333333333</v>
      </c>
      <c r="D37" s="2" t="str">
        <f>+"Total cost per "&amp;C11&amp;"/"&amp;$C$10&amp;" g/ml of "&amp;$C$3</f>
        <v xml:space="preserve">Total cost per 4/85 g/ml of Strawberry muffins </v>
      </c>
      <c r="E37" s="5"/>
    </row>
    <row r="38" spans="2:5" ht="29.4" customHeight="1" x14ac:dyDescent="0.3">
      <c r="C38" s="41">
        <v>0</v>
      </c>
      <c r="D38" s="47" t="s">
        <v>66</v>
      </c>
      <c r="E38" s="47"/>
    </row>
  </sheetData>
  <mergeCells count="2">
    <mergeCell ref="C3:D3"/>
    <mergeCell ref="D38:E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C123-9A83-4CDC-A68C-2AA2BC22251E}">
  <dimension ref="B1:H23"/>
  <sheetViews>
    <sheetView showGridLines="0" workbookViewId="0">
      <selection activeCell="E7" sqref="E7"/>
    </sheetView>
  </sheetViews>
  <sheetFormatPr defaultRowHeight="14.4" x14ac:dyDescent="0.3"/>
  <cols>
    <col min="1" max="1" width="8.88671875" style="4"/>
    <col min="2" max="2" width="4.33203125" style="21" customWidth="1"/>
    <col min="3" max="3" width="40" style="4" customWidth="1"/>
    <col min="4" max="7" width="8.88671875" style="4"/>
    <col min="8" max="8" width="29.109375" style="4" customWidth="1"/>
    <col min="9" max="16384" width="8.88671875" style="4"/>
  </cols>
  <sheetData>
    <row r="1" spans="2:8" ht="15.6" x14ac:dyDescent="0.3">
      <c r="C1" s="44" t="s">
        <v>95</v>
      </c>
    </row>
    <row r="3" spans="2:8" s="1" customFormat="1" ht="31.2" x14ac:dyDescent="0.3">
      <c r="B3" s="22" t="s">
        <v>33</v>
      </c>
      <c r="C3" s="31" t="s">
        <v>0</v>
      </c>
      <c r="D3" s="32" t="s">
        <v>1</v>
      </c>
      <c r="E3" s="32" t="s">
        <v>27</v>
      </c>
      <c r="F3" s="32" t="s">
        <v>29</v>
      </c>
      <c r="G3" s="32" t="s">
        <v>2</v>
      </c>
      <c r="H3" s="33" t="s">
        <v>3</v>
      </c>
    </row>
    <row r="4" spans="2:8" s="1" customFormat="1" ht="3.6" customHeight="1" x14ac:dyDescent="0.3">
      <c r="B4" s="20"/>
    </row>
    <row r="5" spans="2:8" x14ac:dyDescent="0.3">
      <c r="B5" s="23">
        <f t="shared" ref="B5:B6" si="0">+B6+1</f>
        <v>16</v>
      </c>
      <c r="C5" s="5" t="s">
        <v>4</v>
      </c>
      <c r="D5" s="5"/>
      <c r="E5" s="5"/>
      <c r="F5" s="5"/>
      <c r="G5" s="6">
        <f>+F6-D8</f>
        <v>2.3683055311676915</v>
      </c>
      <c r="H5" s="5"/>
    </row>
    <row r="6" spans="2:8" x14ac:dyDescent="0.3">
      <c r="B6" s="23">
        <f t="shared" si="0"/>
        <v>15</v>
      </c>
      <c r="C6" s="5" t="s">
        <v>5</v>
      </c>
      <c r="D6" s="5"/>
      <c r="E6" s="5"/>
      <c r="F6" s="7">
        <f>+D8/(1-E7)</f>
        <v>7.1766834277808815</v>
      </c>
      <c r="G6" s="6"/>
      <c r="H6" s="5" t="s">
        <v>6</v>
      </c>
    </row>
    <row r="7" spans="2:8" x14ac:dyDescent="0.3">
      <c r="B7" s="23">
        <f>+B8+1</f>
        <v>14</v>
      </c>
      <c r="C7" s="5" t="s">
        <v>7</v>
      </c>
      <c r="D7" s="6"/>
      <c r="E7" s="13">
        <v>0.33</v>
      </c>
      <c r="F7" s="6"/>
      <c r="G7" s="5"/>
      <c r="H7" s="5"/>
    </row>
    <row r="8" spans="2:8" x14ac:dyDescent="0.3">
      <c r="B8" s="23">
        <f>+B10+1</f>
        <v>13</v>
      </c>
      <c r="C8" s="5" t="s">
        <v>8</v>
      </c>
      <c r="D8" s="7">
        <f>+F11</f>
        <v>4.80837789661319</v>
      </c>
      <c r="E8" s="5"/>
      <c r="F8" s="5"/>
      <c r="G8" s="6"/>
      <c r="H8" s="5"/>
    </row>
    <row r="10" spans="2:8" x14ac:dyDescent="0.3">
      <c r="B10" s="23">
        <f t="shared" ref="B10:B11" si="1">+B11+1</f>
        <v>12</v>
      </c>
      <c r="C10" s="5" t="s">
        <v>9</v>
      </c>
      <c r="D10" s="5"/>
      <c r="E10" s="5"/>
      <c r="F10" s="5"/>
      <c r="G10" s="7">
        <f>+F11-D13</f>
        <v>0.96167557932263747</v>
      </c>
      <c r="H10" s="5" t="s">
        <v>10</v>
      </c>
    </row>
    <row r="11" spans="2:8" x14ac:dyDescent="0.3">
      <c r="B11" s="23">
        <f t="shared" si="1"/>
        <v>11</v>
      </c>
      <c r="C11" s="5" t="s">
        <v>11</v>
      </c>
      <c r="D11" s="5"/>
      <c r="E11" s="5"/>
      <c r="F11" s="7">
        <f>+D13/(1-E12)</f>
        <v>4.80837789661319</v>
      </c>
      <c r="G11" s="5"/>
      <c r="H11" s="5" t="s">
        <v>26</v>
      </c>
    </row>
    <row r="12" spans="2:8" x14ac:dyDescent="0.3">
      <c r="B12" s="23">
        <f>+B13+1</f>
        <v>10</v>
      </c>
      <c r="C12" s="8" t="s">
        <v>24</v>
      </c>
      <c r="D12" s="6"/>
      <c r="E12" s="13">
        <v>0.2</v>
      </c>
      <c r="F12" s="6"/>
      <c r="G12" s="8"/>
      <c r="H12" s="5"/>
    </row>
    <row r="13" spans="2:8" x14ac:dyDescent="0.3">
      <c r="B13" s="23">
        <f>+B15+1</f>
        <v>9</v>
      </c>
      <c r="C13" s="5" t="s">
        <v>13</v>
      </c>
      <c r="D13" s="7">
        <f>+F16</f>
        <v>3.8467023172905526</v>
      </c>
      <c r="E13" s="5"/>
      <c r="F13" s="5"/>
      <c r="G13" s="5"/>
      <c r="H13" s="5"/>
    </row>
    <row r="15" spans="2:8" x14ac:dyDescent="0.3">
      <c r="B15" s="23">
        <f t="shared" ref="B15:B16" si="2">+B16+1</f>
        <v>8</v>
      </c>
      <c r="C15" s="5" t="s">
        <v>14</v>
      </c>
      <c r="D15" s="5"/>
      <c r="E15" s="5"/>
      <c r="F15" s="5"/>
      <c r="G15" s="7">
        <f>+F16-D18</f>
        <v>0.57700534759358302</v>
      </c>
      <c r="H15" s="5" t="s">
        <v>15</v>
      </c>
    </row>
    <row r="16" spans="2:8" x14ac:dyDescent="0.3">
      <c r="B16" s="23">
        <f t="shared" si="2"/>
        <v>7</v>
      </c>
      <c r="C16" s="5" t="s">
        <v>13</v>
      </c>
      <c r="D16" s="5"/>
      <c r="E16" s="5"/>
      <c r="F16" s="7">
        <f>+D18/(1-E17)</f>
        <v>3.8467023172905526</v>
      </c>
      <c r="G16" s="6"/>
      <c r="H16" s="5" t="s">
        <v>16</v>
      </c>
    </row>
    <row r="17" spans="2:8" x14ac:dyDescent="0.3">
      <c r="B17" s="23">
        <f>+B18+1</f>
        <v>6</v>
      </c>
      <c r="C17" s="5" t="s">
        <v>23</v>
      </c>
      <c r="D17" s="6"/>
      <c r="E17" s="13">
        <v>0.15</v>
      </c>
      <c r="F17" s="6"/>
      <c r="G17" s="5"/>
      <c r="H17" s="5"/>
    </row>
    <row r="18" spans="2:8" x14ac:dyDescent="0.3">
      <c r="B18" s="23">
        <f>+B20+1</f>
        <v>5</v>
      </c>
      <c r="C18" s="5" t="s">
        <v>17</v>
      </c>
      <c r="D18" s="7">
        <f>+F21</f>
        <v>3.2696969696969695</v>
      </c>
      <c r="E18" s="5"/>
      <c r="F18" s="5"/>
      <c r="G18" s="5"/>
      <c r="H18" s="5"/>
    </row>
    <row r="20" spans="2:8" x14ac:dyDescent="0.3">
      <c r="B20" s="23">
        <v>4</v>
      </c>
      <c r="C20" s="5" t="s">
        <v>18</v>
      </c>
      <c r="D20" s="5"/>
      <c r="E20" s="5"/>
      <c r="F20" s="5"/>
      <c r="G20" s="6">
        <f>+F21-D23</f>
        <v>1.4713636363636362</v>
      </c>
      <c r="H20" s="5" t="s">
        <v>19</v>
      </c>
    </row>
    <row r="21" spans="2:8" x14ac:dyDescent="0.3">
      <c r="B21" s="23">
        <v>3</v>
      </c>
      <c r="C21" s="5" t="s">
        <v>17</v>
      </c>
      <c r="D21" s="5"/>
      <c r="E21" s="5"/>
      <c r="F21" s="7">
        <f>+D23/(1-E22)</f>
        <v>3.2696969696969695</v>
      </c>
      <c r="G21" s="6"/>
      <c r="H21" s="5" t="s">
        <v>20</v>
      </c>
    </row>
    <row r="22" spans="2:8" x14ac:dyDescent="0.3">
      <c r="B22" s="23">
        <v>2</v>
      </c>
      <c r="C22" s="5" t="s">
        <v>21</v>
      </c>
      <c r="D22" s="6"/>
      <c r="E22" s="13">
        <v>0.45</v>
      </c>
      <c r="F22" s="6"/>
      <c r="G22" s="5"/>
      <c r="H22" s="5"/>
    </row>
    <row r="23" spans="2:8" x14ac:dyDescent="0.3">
      <c r="B23" s="23">
        <v>1</v>
      </c>
      <c r="C23" s="5" t="s">
        <v>22</v>
      </c>
      <c r="D23" s="7">
        <f>+IF(OR(COGS!C38="",COGS!C38=0),COGS!C37,COGS!C38)</f>
        <v>1.7983333333333333</v>
      </c>
      <c r="E23" s="5"/>
      <c r="F23" s="5"/>
      <c r="G23" s="6"/>
      <c r="H23" s="5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F594-C945-479D-8028-20950914116D}">
  <dimension ref="B1:H23"/>
  <sheetViews>
    <sheetView showGridLines="0" workbookViewId="0">
      <selection activeCell="E7" sqref="E7"/>
    </sheetView>
  </sheetViews>
  <sheetFormatPr defaultRowHeight="14.4" x14ac:dyDescent="0.3"/>
  <cols>
    <col min="1" max="1" width="8.88671875" style="4"/>
    <col min="2" max="2" width="4.33203125" style="21" customWidth="1"/>
    <col min="3" max="3" width="40" style="4" customWidth="1"/>
    <col min="4" max="7" width="8.88671875" style="4"/>
    <col min="8" max="8" width="29.109375" style="4" customWidth="1"/>
    <col min="9" max="16384" width="8.88671875" style="4"/>
  </cols>
  <sheetData>
    <row r="1" spans="2:8" ht="15.6" x14ac:dyDescent="0.3">
      <c r="C1" s="44" t="s">
        <v>96</v>
      </c>
    </row>
    <row r="3" spans="2:8" s="1" customFormat="1" ht="28.8" x14ac:dyDescent="0.3">
      <c r="B3" s="45" t="s">
        <v>33</v>
      </c>
      <c r="C3" s="14" t="s">
        <v>0</v>
      </c>
      <c r="D3" s="15" t="s">
        <v>1</v>
      </c>
      <c r="E3" s="15" t="s">
        <v>28</v>
      </c>
      <c r="F3" s="15" t="s">
        <v>29</v>
      </c>
      <c r="G3" s="15" t="s">
        <v>2</v>
      </c>
      <c r="H3" s="16" t="s">
        <v>3</v>
      </c>
    </row>
    <row r="4" spans="2:8" s="1" customFormat="1" ht="3.6" customHeight="1" x14ac:dyDescent="0.3">
      <c r="B4" s="20"/>
    </row>
    <row r="5" spans="2:8" x14ac:dyDescent="0.3">
      <c r="B5" s="23">
        <f t="shared" ref="B5:B6" si="0">+B6+1</f>
        <v>16</v>
      </c>
      <c r="C5" s="5" t="s">
        <v>4</v>
      </c>
      <c r="D5" s="5"/>
      <c r="E5" s="5"/>
      <c r="F5" s="5"/>
      <c r="G5" s="6">
        <f>+F6-D8</f>
        <v>2.3683055311676915</v>
      </c>
      <c r="H5" s="5"/>
    </row>
    <row r="6" spans="2:8" x14ac:dyDescent="0.3">
      <c r="B6" s="23">
        <f t="shared" si="0"/>
        <v>15</v>
      </c>
      <c r="C6" s="5" t="s">
        <v>5</v>
      </c>
      <c r="D6" s="5"/>
      <c r="E6" s="5"/>
      <c r="F6" s="7">
        <f>+D8/(1-E7)</f>
        <v>7.1766834277808824</v>
      </c>
      <c r="G6" s="6"/>
      <c r="H6" s="5" t="s">
        <v>6</v>
      </c>
    </row>
    <row r="7" spans="2:8" x14ac:dyDescent="0.3">
      <c r="B7" s="23">
        <f>+B8+1</f>
        <v>14</v>
      </c>
      <c r="C7" s="5" t="s">
        <v>7</v>
      </c>
      <c r="D7" s="6"/>
      <c r="E7" s="13">
        <v>0.33</v>
      </c>
      <c r="F7" s="6"/>
      <c r="G7" s="5"/>
      <c r="H7" s="5"/>
    </row>
    <row r="8" spans="2:8" x14ac:dyDescent="0.3">
      <c r="B8" s="23">
        <f>+B10+1</f>
        <v>13</v>
      </c>
      <c r="C8" s="5" t="s">
        <v>8</v>
      </c>
      <c r="D8" s="7">
        <f>+F11</f>
        <v>4.8083778966131909</v>
      </c>
      <c r="E8" s="5"/>
      <c r="F8" s="5"/>
      <c r="G8" s="6"/>
      <c r="H8" s="5"/>
    </row>
    <row r="10" spans="2:8" x14ac:dyDescent="0.3">
      <c r="B10" s="23">
        <f t="shared" ref="B10:B11" si="1">+B11+1</f>
        <v>12</v>
      </c>
      <c r="C10" s="5" t="s">
        <v>9</v>
      </c>
      <c r="D10" s="5"/>
      <c r="E10" s="5"/>
      <c r="F10" s="5"/>
      <c r="G10" s="7">
        <f>+F11-D13</f>
        <v>0.96167557932263836</v>
      </c>
      <c r="H10" s="5" t="s">
        <v>10</v>
      </c>
    </row>
    <row r="11" spans="2:8" x14ac:dyDescent="0.3">
      <c r="B11" s="23">
        <f t="shared" si="1"/>
        <v>11</v>
      </c>
      <c r="C11" s="5" t="s">
        <v>11</v>
      </c>
      <c r="D11" s="6"/>
      <c r="E11" s="5"/>
      <c r="F11" s="6">
        <f>+D13*E12+D13</f>
        <v>4.8083778966131909</v>
      </c>
      <c r="G11" s="5"/>
      <c r="H11" s="5" t="s">
        <v>12</v>
      </c>
    </row>
    <row r="12" spans="2:8" x14ac:dyDescent="0.3">
      <c r="B12" s="23">
        <f>+B13+1</f>
        <v>10</v>
      </c>
      <c r="C12" s="8" t="s">
        <v>25</v>
      </c>
      <c r="D12" s="8"/>
      <c r="E12" s="17">
        <v>0.25</v>
      </c>
      <c r="F12" s="8"/>
      <c r="G12" s="8"/>
      <c r="H12" s="5"/>
    </row>
    <row r="13" spans="2:8" x14ac:dyDescent="0.3">
      <c r="B13" s="23">
        <f>+B15+1</f>
        <v>9</v>
      </c>
      <c r="C13" s="5" t="s">
        <v>13</v>
      </c>
      <c r="D13" s="7">
        <f>+F16</f>
        <v>3.8467023172905526</v>
      </c>
      <c r="E13" s="9"/>
      <c r="F13" s="5"/>
      <c r="G13" s="5"/>
      <c r="H13" s="5"/>
    </row>
    <row r="15" spans="2:8" x14ac:dyDescent="0.3">
      <c r="B15" s="23">
        <f t="shared" ref="B15:B16" si="2">+B16+1</f>
        <v>8</v>
      </c>
      <c r="C15" s="5" t="s">
        <v>14</v>
      </c>
      <c r="D15" s="5"/>
      <c r="E15" s="5"/>
      <c r="F15" s="5"/>
      <c r="G15" s="7">
        <f>+F16-D18</f>
        <v>0.57700534759358302</v>
      </c>
      <c r="H15" s="5" t="s">
        <v>15</v>
      </c>
    </row>
    <row r="16" spans="2:8" x14ac:dyDescent="0.3">
      <c r="B16" s="23">
        <f t="shared" si="2"/>
        <v>7</v>
      </c>
      <c r="C16" s="5" t="s">
        <v>13</v>
      </c>
      <c r="D16" s="5"/>
      <c r="E16" s="10"/>
      <c r="F16" s="6">
        <f>+D18/(1-E17)</f>
        <v>3.8467023172905526</v>
      </c>
      <c r="G16" s="6"/>
      <c r="H16" s="5" t="s">
        <v>16</v>
      </c>
    </row>
    <row r="17" spans="2:8" x14ac:dyDescent="0.3">
      <c r="B17" s="23">
        <f>+B18+1</f>
        <v>6</v>
      </c>
      <c r="C17" s="5" t="s">
        <v>23</v>
      </c>
      <c r="D17" s="5"/>
      <c r="E17" s="13">
        <v>0.15</v>
      </c>
      <c r="F17" s="6"/>
      <c r="G17" s="5"/>
      <c r="H17" s="5"/>
    </row>
    <row r="18" spans="2:8" x14ac:dyDescent="0.3">
      <c r="B18" s="23">
        <f>+B20+1</f>
        <v>5</v>
      </c>
      <c r="C18" s="5" t="s">
        <v>17</v>
      </c>
      <c r="D18" s="7">
        <f>+F21</f>
        <v>3.2696969696969695</v>
      </c>
      <c r="E18" s="9"/>
      <c r="F18" s="6"/>
      <c r="G18" s="5"/>
      <c r="H18" s="5"/>
    </row>
    <row r="20" spans="2:8" x14ac:dyDescent="0.3">
      <c r="B20" s="23">
        <v>4</v>
      </c>
      <c r="C20" s="5" t="s">
        <v>18</v>
      </c>
      <c r="D20" s="5"/>
      <c r="E20" s="5"/>
      <c r="F20" s="5"/>
      <c r="G20" s="6">
        <f>+F21-D23</f>
        <v>1.4713636363636362</v>
      </c>
      <c r="H20" s="5" t="s">
        <v>19</v>
      </c>
    </row>
    <row r="21" spans="2:8" x14ac:dyDescent="0.3">
      <c r="B21" s="23">
        <v>3</v>
      </c>
      <c r="C21" s="5" t="s">
        <v>17</v>
      </c>
      <c r="D21" s="5"/>
      <c r="E21" s="5"/>
      <c r="F21" s="6">
        <f>+D23/(1-E22)</f>
        <v>3.2696969696969695</v>
      </c>
      <c r="G21" s="6"/>
      <c r="H21" s="5" t="s">
        <v>20</v>
      </c>
    </row>
    <row r="22" spans="2:8" x14ac:dyDescent="0.3">
      <c r="B22" s="23">
        <v>2</v>
      </c>
      <c r="C22" s="5" t="s">
        <v>21</v>
      </c>
      <c r="D22" s="6"/>
      <c r="E22" s="13">
        <v>0.45</v>
      </c>
      <c r="G22" s="5"/>
      <c r="H22" s="5"/>
    </row>
    <row r="23" spans="2:8" x14ac:dyDescent="0.3">
      <c r="B23" s="23">
        <v>1</v>
      </c>
      <c r="C23" s="5" t="s">
        <v>22</v>
      </c>
      <c r="D23" s="7">
        <f>+IF(OR(COGS!C38="",COGS!C38=0),COGS!C37,COGS!C38)</f>
        <v>1.7983333333333333</v>
      </c>
      <c r="E23" s="5"/>
      <c r="F23" s="5"/>
      <c r="G23" s="6"/>
      <c r="H23" s="5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3FC7C-35AB-4742-A8AA-4611DB3C9F57}">
  <dimension ref="B1:H23"/>
  <sheetViews>
    <sheetView showGridLines="0" workbookViewId="0">
      <selection activeCell="F6" sqref="F6"/>
    </sheetView>
  </sheetViews>
  <sheetFormatPr defaultRowHeight="14.4" x14ac:dyDescent="0.3"/>
  <cols>
    <col min="1" max="1" width="8.88671875" style="4"/>
    <col min="2" max="2" width="4.33203125" style="21" customWidth="1"/>
    <col min="3" max="3" width="40" style="4" customWidth="1"/>
    <col min="4" max="7" width="8.88671875" style="4"/>
    <col min="8" max="8" width="32.21875" style="4" customWidth="1"/>
    <col min="9" max="16384" width="8.88671875" style="4"/>
  </cols>
  <sheetData>
    <row r="1" spans="2:8" ht="15.6" x14ac:dyDescent="0.3">
      <c r="B1" s="44" t="s">
        <v>98</v>
      </c>
    </row>
    <row r="3" spans="2:8" s="1" customFormat="1" ht="28.8" x14ac:dyDescent="0.3">
      <c r="B3" s="22" t="s">
        <v>33</v>
      </c>
      <c r="C3" s="2" t="s">
        <v>0</v>
      </c>
      <c r="D3" s="12" t="s">
        <v>1</v>
      </c>
      <c r="E3" s="12" t="s">
        <v>27</v>
      </c>
      <c r="F3" s="12" t="s">
        <v>29</v>
      </c>
      <c r="G3" s="12" t="s">
        <v>2</v>
      </c>
      <c r="H3" s="3" t="s">
        <v>3</v>
      </c>
    </row>
    <row r="4" spans="2:8" s="1" customFormat="1" ht="3.6" customHeight="1" x14ac:dyDescent="0.3">
      <c r="B4" s="20"/>
    </row>
    <row r="5" spans="2:8" x14ac:dyDescent="0.3">
      <c r="B5" s="23">
        <f t="shared" ref="B5:B6" si="0">+B6+1</f>
        <v>16</v>
      </c>
      <c r="C5" s="5" t="s">
        <v>4</v>
      </c>
      <c r="D5" s="5"/>
      <c r="E5" s="5"/>
      <c r="F5" s="5"/>
      <c r="G5" s="6">
        <f>+F6*E7</f>
        <v>1.3167000000000002</v>
      </c>
      <c r="H5" s="5" t="s">
        <v>30</v>
      </c>
    </row>
    <row r="6" spans="2:8" x14ac:dyDescent="0.3">
      <c r="B6" s="23">
        <f t="shared" si="0"/>
        <v>15</v>
      </c>
      <c r="C6" s="5" t="s">
        <v>5</v>
      </c>
      <c r="D6" s="5"/>
      <c r="E6" s="5"/>
      <c r="F6" s="19">
        <v>3.99</v>
      </c>
      <c r="G6" s="6"/>
      <c r="H6" s="5"/>
    </row>
    <row r="7" spans="2:8" x14ac:dyDescent="0.3">
      <c r="B7" s="23">
        <f>+B8+1</f>
        <v>14</v>
      </c>
      <c r="C7" s="5" t="s">
        <v>7</v>
      </c>
      <c r="D7" s="6"/>
      <c r="E7" s="13">
        <v>0.33</v>
      </c>
      <c r="F7" s="6"/>
      <c r="G7" s="5"/>
      <c r="H7" s="5"/>
    </row>
    <row r="8" spans="2:8" x14ac:dyDescent="0.3">
      <c r="B8" s="23">
        <f>+B10+1</f>
        <v>13</v>
      </c>
      <c r="C8" s="5" t="s">
        <v>8</v>
      </c>
      <c r="D8" s="7">
        <f>+F6-G5</f>
        <v>2.6733000000000002</v>
      </c>
      <c r="E8" s="5"/>
      <c r="F8" s="5"/>
      <c r="G8" s="6"/>
      <c r="H8" s="5" t="s">
        <v>31</v>
      </c>
    </row>
    <row r="10" spans="2:8" x14ac:dyDescent="0.3">
      <c r="B10" s="23">
        <f t="shared" ref="B10:B11" si="1">+B11+1</f>
        <v>12</v>
      </c>
      <c r="C10" s="5" t="s">
        <v>9</v>
      </c>
      <c r="D10" s="5"/>
      <c r="E10" s="5"/>
      <c r="F10" s="5"/>
      <c r="G10" s="6">
        <f>+F11*E12</f>
        <v>0.53466000000000002</v>
      </c>
      <c r="H10" s="5" t="s">
        <v>32</v>
      </c>
    </row>
    <row r="11" spans="2:8" x14ac:dyDescent="0.3">
      <c r="B11" s="23">
        <f t="shared" si="1"/>
        <v>11</v>
      </c>
      <c r="C11" s="5" t="s">
        <v>11</v>
      </c>
      <c r="D11" s="5"/>
      <c r="E11" s="5"/>
      <c r="F11" s="18">
        <f>+D8</f>
        <v>2.6733000000000002</v>
      </c>
      <c r="G11" s="5"/>
      <c r="H11" s="5" t="s">
        <v>34</v>
      </c>
    </row>
    <row r="12" spans="2:8" x14ac:dyDescent="0.3">
      <c r="B12" s="23">
        <f>+B13+1</f>
        <v>10</v>
      </c>
      <c r="C12" s="8" t="s">
        <v>24</v>
      </c>
      <c r="D12" s="6"/>
      <c r="E12" s="13">
        <v>0.2</v>
      </c>
      <c r="F12" s="6"/>
      <c r="G12" s="8"/>
      <c r="H12" s="5"/>
    </row>
    <row r="13" spans="2:8" x14ac:dyDescent="0.3">
      <c r="B13" s="23">
        <f>+B15+1</f>
        <v>9</v>
      </c>
      <c r="C13" s="5" t="s">
        <v>13</v>
      </c>
      <c r="D13" s="7">
        <f>+F11-G10</f>
        <v>2.1386400000000001</v>
      </c>
      <c r="E13" s="5"/>
      <c r="F13" s="5"/>
      <c r="G13" s="5"/>
      <c r="H13" s="5" t="s">
        <v>35</v>
      </c>
    </row>
    <row r="15" spans="2:8" x14ac:dyDescent="0.3">
      <c r="B15" s="23">
        <f t="shared" ref="B15:B16" si="2">+B16+1</f>
        <v>8</v>
      </c>
      <c r="C15" s="5" t="s">
        <v>14</v>
      </c>
      <c r="D15" s="5"/>
      <c r="E15" s="5"/>
      <c r="F15" s="5"/>
      <c r="G15" s="6">
        <f>+F16*E17</f>
        <v>0.32079600000000003</v>
      </c>
      <c r="H15" s="5" t="s">
        <v>36</v>
      </c>
    </row>
    <row r="16" spans="2:8" x14ac:dyDescent="0.3">
      <c r="B16" s="23">
        <f t="shared" si="2"/>
        <v>7</v>
      </c>
      <c r="C16" s="5" t="s">
        <v>13</v>
      </c>
      <c r="D16" s="5"/>
      <c r="E16" s="5"/>
      <c r="F16" s="18">
        <f>+D13</f>
        <v>2.1386400000000001</v>
      </c>
      <c r="G16" s="6"/>
      <c r="H16" s="5" t="s">
        <v>37</v>
      </c>
    </row>
    <row r="17" spans="2:8" x14ac:dyDescent="0.3">
      <c r="B17" s="23">
        <f>+B18+1</f>
        <v>6</v>
      </c>
      <c r="C17" s="5" t="s">
        <v>23</v>
      </c>
      <c r="D17" s="6"/>
      <c r="E17" s="13">
        <v>0.15</v>
      </c>
      <c r="F17" s="6"/>
      <c r="G17" s="5"/>
      <c r="H17" s="5"/>
    </row>
    <row r="18" spans="2:8" x14ac:dyDescent="0.3">
      <c r="B18" s="23">
        <f>+B20+1</f>
        <v>5</v>
      </c>
      <c r="C18" s="5" t="s">
        <v>17</v>
      </c>
      <c r="D18" s="7">
        <f>+F16-G15</f>
        <v>1.817844</v>
      </c>
      <c r="E18" s="5"/>
      <c r="F18" s="5"/>
      <c r="G18" s="5"/>
      <c r="H18" s="5" t="s">
        <v>38</v>
      </c>
    </row>
    <row r="20" spans="2:8" x14ac:dyDescent="0.3">
      <c r="B20" s="23">
        <v>4</v>
      </c>
      <c r="C20" s="5" t="s">
        <v>18</v>
      </c>
      <c r="D20" s="5"/>
      <c r="E20" s="5"/>
      <c r="F20" s="5"/>
      <c r="G20" s="6">
        <f>+F21*E22</f>
        <v>0.81802980000000003</v>
      </c>
      <c r="H20" s="5" t="s">
        <v>39</v>
      </c>
    </row>
    <row r="21" spans="2:8" x14ac:dyDescent="0.3">
      <c r="B21" s="23">
        <v>3</v>
      </c>
      <c r="C21" s="5" t="s">
        <v>17</v>
      </c>
      <c r="D21" s="5"/>
      <c r="E21" s="5"/>
      <c r="F21" s="18">
        <f>+D18</f>
        <v>1.817844</v>
      </c>
      <c r="G21" s="6"/>
      <c r="H21" s="5" t="s">
        <v>40</v>
      </c>
    </row>
    <row r="22" spans="2:8" x14ac:dyDescent="0.3">
      <c r="B22" s="23">
        <v>2</v>
      </c>
      <c r="C22" s="5" t="s">
        <v>21</v>
      </c>
      <c r="D22" s="6"/>
      <c r="E22" s="13">
        <v>0.45</v>
      </c>
      <c r="F22" s="6"/>
      <c r="G22" s="5"/>
      <c r="H22" s="5"/>
    </row>
    <row r="23" spans="2:8" x14ac:dyDescent="0.3">
      <c r="B23" s="23">
        <v>1</v>
      </c>
      <c r="C23" s="5" t="s">
        <v>22</v>
      </c>
      <c r="D23" s="7">
        <f>+F21-G20</f>
        <v>0.99981419999999999</v>
      </c>
      <c r="E23" s="5"/>
      <c r="F23" s="5"/>
      <c r="G23" s="6"/>
      <c r="H23" s="5" t="s">
        <v>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92EA-FA19-4562-8CFD-F11F8809F535}">
  <dimension ref="B1:H23"/>
  <sheetViews>
    <sheetView showGridLines="0" tabSelected="1" topLeftCell="A3" workbookViewId="0">
      <selection activeCell="J21" sqref="J21"/>
    </sheetView>
  </sheetViews>
  <sheetFormatPr defaultRowHeight="14.4" x14ac:dyDescent="0.3"/>
  <cols>
    <col min="1" max="1" width="8.88671875" style="4"/>
    <col min="2" max="2" width="4.33203125" style="21" customWidth="1"/>
    <col min="3" max="3" width="40" style="4" customWidth="1"/>
    <col min="4" max="7" width="8.88671875" style="4"/>
    <col min="8" max="8" width="32.77734375" style="4" customWidth="1"/>
    <col min="9" max="16384" width="8.88671875" style="4"/>
  </cols>
  <sheetData>
    <row r="1" spans="2:8" ht="15.6" x14ac:dyDescent="0.3">
      <c r="B1" s="44" t="s">
        <v>97</v>
      </c>
    </row>
    <row r="3" spans="2:8" s="1" customFormat="1" ht="28.8" x14ac:dyDescent="0.3">
      <c r="B3" s="45" t="s">
        <v>33</v>
      </c>
      <c r="C3" s="14" t="s">
        <v>0</v>
      </c>
      <c r="D3" s="15" t="s">
        <v>1</v>
      </c>
      <c r="E3" s="15" t="s">
        <v>28</v>
      </c>
      <c r="F3" s="15" t="s">
        <v>29</v>
      </c>
      <c r="G3" s="15" t="s">
        <v>2</v>
      </c>
      <c r="H3" s="16" t="s">
        <v>3</v>
      </c>
    </row>
    <row r="4" spans="2:8" s="1" customFormat="1" ht="3.6" customHeight="1" x14ac:dyDescent="0.3">
      <c r="B4" s="20"/>
    </row>
    <row r="5" spans="2:8" x14ac:dyDescent="0.3">
      <c r="B5" s="23">
        <f t="shared" ref="B5:B6" si="0">+B6+1</f>
        <v>16</v>
      </c>
      <c r="C5" s="5" t="s">
        <v>4</v>
      </c>
      <c r="D5" s="5"/>
      <c r="E5" s="5"/>
      <c r="F5" s="5"/>
      <c r="G5" s="6">
        <f>+F6*E7</f>
        <v>4.7214999999999998</v>
      </c>
      <c r="H5" s="5" t="s">
        <v>30</v>
      </c>
    </row>
    <row r="6" spans="2:8" x14ac:dyDescent="0.3">
      <c r="B6" s="23">
        <f t="shared" si="0"/>
        <v>15</v>
      </c>
      <c r="C6" s="5" t="s">
        <v>5</v>
      </c>
      <c r="D6" s="5"/>
      <c r="E6" s="5"/>
      <c r="F6" s="19">
        <v>13.49</v>
      </c>
      <c r="G6" s="6"/>
      <c r="H6" s="5"/>
    </row>
    <row r="7" spans="2:8" x14ac:dyDescent="0.3">
      <c r="B7" s="23">
        <f>+B8+1</f>
        <v>14</v>
      </c>
      <c r="C7" s="5" t="s">
        <v>7</v>
      </c>
      <c r="D7" s="6"/>
      <c r="E7" s="13">
        <v>0.35</v>
      </c>
      <c r="F7" s="6"/>
      <c r="G7" s="5"/>
      <c r="H7" s="5"/>
    </row>
    <row r="8" spans="2:8" x14ac:dyDescent="0.3">
      <c r="B8" s="23">
        <f>+B10+1</f>
        <v>13</v>
      </c>
      <c r="C8" s="5" t="s">
        <v>8</v>
      </c>
      <c r="D8" s="7">
        <f>+F6-G5</f>
        <v>8.7684999999999995</v>
      </c>
      <c r="E8" s="5"/>
      <c r="F8" s="5"/>
      <c r="G8" s="6"/>
      <c r="H8" s="5" t="s">
        <v>31</v>
      </c>
    </row>
    <row r="10" spans="2:8" x14ac:dyDescent="0.3">
      <c r="B10" s="23">
        <f t="shared" ref="B10:B11" si="1">+B11+1</f>
        <v>12</v>
      </c>
      <c r="C10" s="5" t="s">
        <v>9</v>
      </c>
      <c r="D10" s="5"/>
      <c r="E10" s="5"/>
      <c r="F10" s="5"/>
      <c r="G10" s="6">
        <f>+E12/(1+E12)*F11</f>
        <v>1.1437173913043477</v>
      </c>
      <c r="H10" s="5" t="s">
        <v>42</v>
      </c>
    </row>
    <row r="11" spans="2:8" x14ac:dyDescent="0.3">
      <c r="B11" s="23">
        <f t="shared" si="1"/>
        <v>11</v>
      </c>
      <c r="C11" s="5" t="s">
        <v>11</v>
      </c>
      <c r="D11" s="5"/>
      <c r="E11" s="5"/>
      <c r="F11" s="18">
        <f>+D8</f>
        <v>8.7684999999999995</v>
      </c>
      <c r="G11" s="5"/>
      <c r="H11" s="5" t="s">
        <v>34</v>
      </c>
    </row>
    <row r="12" spans="2:8" x14ac:dyDescent="0.3">
      <c r="B12" s="23">
        <f>+B13+1</f>
        <v>10</v>
      </c>
      <c r="C12" s="8" t="s">
        <v>25</v>
      </c>
      <c r="D12" s="6"/>
      <c r="E12" s="24">
        <v>0.15</v>
      </c>
      <c r="F12" s="6"/>
      <c r="G12" s="8"/>
      <c r="H12" s="5"/>
    </row>
    <row r="13" spans="2:8" x14ac:dyDescent="0.3">
      <c r="B13" s="23">
        <f>+B15+1</f>
        <v>9</v>
      </c>
      <c r="C13" s="5" t="s">
        <v>13</v>
      </c>
      <c r="D13" s="7">
        <f>+F11-G10</f>
        <v>7.6247826086956518</v>
      </c>
      <c r="E13" s="5"/>
      <c r="F13" s="5"/>
      <c r="G13" s="5"/>
      <c r="H13" s="5" t="s">
        <v>35</v>
      </c>
    </row>
    <row r="15" spans="2:8" x14ac:dyDescent="0.3">
      <c r="B15" s="23">
        <f t="shared" ref="B15:B16" si="2">+B16+1</f>
        <v>8</v>
      </c>
      <c r="C15" s="5" t="s">
        <v>14</v>
      </c>
      <c r="D15" s="5"/>
      <c r="E15" s="5"/>
      <c r="F15" s="5"/>
      <c r="G15" s="6">
        <f>+F16*E17</f>
        <v>0.99122173913043476</v>
      </c>
      <c r="H15" s="5" t="s">
        <v>36</v>
      </c>
    </row>
    <row r="16" spans="2:8" x14ac:dyDescent="0.3">
      <c r="B16" s="23">
        <f t="shared" si="2"/>
        <v>7</v>
      </c>
      <c r="C16" s="5" t="s">
        <v>13</v>
      </c>
      <c r="D16" s="5"/>
      <c r="E16" s="5"/>
      <c r="F16" s="18">
        <f>+D13</f>
        <v>7.6247826086956518</v>
      </c>
      <c r="G16" s="6"/>
      <c r="H16" s="5" t="s">
        <v>37</v>
      </c>
    </row>
    <row r="17" spans="2:8" x14ac:dyDescent="0.3">
      <c r="B17" s="23">
        <f>+B18+1</f>
        <v>6</v>
      </c>
      <c r="C17" s="5" t="s">
        <v>23</v>
      </c>
      <c r="D17" s="6"/>
      <c r="E17" s="13">
        <v>0.13</v>
      </c>
      <c r="F17" s="6"/>
      <c r="G17" s="5"/>
      <c r="H17" s="5"/>
    </row>
    <row r="18" spans="2:8" x14ac:dyDescent="0.3">
      <c r="B18" s="23">
        <f>+B20+1</f>
        <v>5</v>
      </c>
      <c r="C18" s="5" t="s">
        <v>17</v>
      </c>
      <c r="D18" s="7">
        <f>+F16-G15</f>
        <v>6.6335608695652173</v>
      </c>
      <c r="E18" s="5"/>
      <c r="F18" s="5"/>
      <c r="G18" s="5"/>
      <c r="H18" s="5" t="s">
        <v>38</v>
      </c>
    </row>
    <row r="20" spans="2:8" x14ac:dyDescent="0.3">
      <c r="B20" s="23">
        <v>4</v>
      </c>
      <c r="C20" s="5" t="s">
        <v>18</v>
      </c>
      <c r="D20" s="5"/>
      <c r="E20" s="5"/>
      <c r="F20" s="5"/>
      <c r="G20" s="6">
        <f>+F21*E22</f>
        <v>2.985102391304348</v>
      </c>
      <c r="H20" s="5" t="s">
        <v>39</v>
      </c>
    </row>
    <row r="21" spans="2:8" x14ac:dyDescent="0.3">
      <c r="B21" s="23">
        <v>3</v>
      </c>
      <c r="C21" s="5" t="s">
        <v>17</v>
      </c>
      <c r="D21" s="5"/>
      <c r="E21" s="5"/>
      <c r="F21" s="18">
        <f>+D18</f>
        <v>6.6335608695652173</v>
      </c>
      <c r="G21" s="6"/>
      <c r="H21" s="5" t="s">
        <v>40</v>
      </c>
    </row>
    <row r="22" spans="2:8" x14ac:dyDescent="0.3">
      <c r="B22" s="23">
        <v>2</v>
      </c>
      <c r="C22" s="5" t="s">
        <v>21</v>
      </c>
      <c r="D22" s="6"/>
      <c r="E22" s="13">
        <v>0.45</v>
      </c>
      <c r="F22" s="6"/>
      <c r="G22" s="5"/>
      <c r="H22" s="5"/>
    </row>
    <row r="23" spans="2:8" x14ac:dyDescent="0.3">
      <c r="B23" s="23">
        <v>1</v>
      </c>
      <c r="C23" s="5" t="s">
        <v>100</v>
      </c>
      <c r="D23" s="7">
        <f>+F21-G20</f>
        <v>3.6484584782608693</v>
      </c>
      <c r="E23" s="5"/>
      <c r="F23" s="5"/>
      <c r="G23" s="6"/>
      <c r="H23" s="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5309-126A-41BF-954F-1E774112EEF3}">
  <dimension ref="B1:E38"/>
  <sheetViews>
    <sheetView workbookViewId="0">
      <selection activeCell="E2" sqref="E2"/>
    </sheetView>
  </sheetViews>
  <sheetFormatPr defaultRowHeight="14.4" x14ac:dyDescent="0.3"/>
  <cols>
    <col min="1" max="1" width="8.88671875" style="4"/>
    <col min="2" max="2" width="35.21875" style="4" customWidth="1"/>
    <col min="3" max="3" width="8.88671875" style="4"/>
    <col min="4" max="4" width="17.6640625" style="4" customWidth="1"/>
    <col min="5" max="5" width="34.77734375" style="39" customWidth="1"/>
    <col min="6" max="16384" width="8.88671875" style="4"/>
  </cols>
  <sheetData>
    <row r="1" spans="2:5" ht="18" x14ac:dyDescent="0.3">
      <c r="B1" s="30" t="s">
        <v>67</v>
      </c>
      <c r="E1" s="1" t="s">
        <v>99</v>
      </c>
    </row>
    <row r="3" spans="2:5" x14ac:dyDescent="0.3">
      <c r="B3" s="2" t="s">
        <v>68</v>
      </c>
      <c r="C3" s="46" t="s">
        <v>92</v>
      </c>
      <c r="D3" s="46"/>
    </row>
    <row r="5" spans="2:5" x14ac:dyDescent="0.3">
      <c r="B5" s="2" t="s">
        <v>77</v>
      </c>
      <c r="C5" s="25" t="s">
        <v>43</v>
      </c>
      <c r="D5" s="2" t="s">
        <v>55</v>
      </c>
      <c r="E5" s="40" t="s">
        <v>44</v>
      </c>
    </row>
    <row r="6" spans="2:5" x14ac:dyDescent="0.3">
      <c r="B6" s="26" t="s">
        <v>45</v>
      </c>
      <c r="C6" s="11">
        <v>110.58</v>
      </c>
      <c r="D6" s="5"/>
      <c r="E6" s="39" t="s">
        <v>46</v>
      </c>
    </row>
    <row r="7" spans="2:5" x14ac:dyDescent="0.3">
      <c r="B7" s="26" t="s">
        <v>47</v>
      </c>
      <c r="C7" s="27">
        <v>26.4</v>
      </c>
      <c r="D7" s="5" t="s">
        <v>48</v>
      </c>
    </row>
    <row r="8" spans="2:5" x14ac:dyDescent="0.3">
      <c r="B8" s="26" t="s">
        <v>49</v>
      </c>
      <c r="C8" s="28">
        <f>+C7*1000</f>
        <v>26400</v>
      </c>
      <c r="D8" s="5"/>
      <c r="E8" s="39" t="s">
        <v>50</v>
      </c>
    </row>
    <row r="9" spans="2:5" x14ac:dyDescent="0.3">
      <c r="B9" s="5" t="s">
        <v>51</v>
      </c>
      <c r="C9" s="7">
        <f>+C6/C8*100</f>
        <v>0.41886363636363638</v>
      </c>
      <c r="D9" s="5"/>
      <c r="E9" s="39" t="s">
        <v>50</v>
      </c>
    </row>
    <row r="10" spans="2:5" ht="28.8" x14ac:dyDescent="0.3">
      <c r="B10" s="26" t="s">
        <v>80</v>
      </c>
      <c r="C10" s="27">
        <v>85</v>
      </c>
      <c r="D10" s="5" t="s">
        <v>85</v>
      </c>
      <c r="E10" s="39" t="s">
        <v>52</v>
      </c>
    </row>
    <row r="11" spans="2:5" x14ac:dyDescent="0.3">
      <c r="B11" s="26" t="s">
        <v>81</v>
      </c>
      <c r="C11" s="27">
        <v>4</v>
      </c>
      <c r="D11" s="5"/>
    </row>
    <row r="12" spans="2:5" x14ac:dyDescent="0.3">
      <c r="B12" s="5" t="s">
        <v>53</v>
      </c>
      <c r="C12" s="7">
        <f>+ROUND(C10/100*C9*C11,2)</f>
        <v>1.42</v>
      </c>
      <c r="D12" s="5"/>
      <c r="E12" s="39" t="s">
        <v>50</v>
      </c>
    </row>
    <row r="14" spans="2:5" x14ac:dyDescent="0.3">
      <c r="B14" s="2" t="s">
        <v>82</v>
      </c>
      <c r="C14" s="2" t="s">
        <v>43</v>
      </c>
      <c r="D14" s="2" t="s">
        <v>55</v>
      </c>
    </row>
    <row r="15" spans="2:5" x14ac:dyDescent="0.3">
      <c r="B15" s="36" t="s">
        <v>61</v>
      </c>
      <c r="C15" s="37">
        <v>8.6999999999999994E-2</v>
      </c>
      <c r="D15" s="5" t="s">
        <v>83</v>
      </c>
      <c r="E15" s="39" t="str">
        <f>+"This is the cost of the container that holds the "&amp;$C$10&amp;" g/ml of "&amp;$C$3</f>
        <v xml:space="preserve">This is the cost of the container that holds the 85 g/ml of Strawberry muffins </v>
      </c>
    </row>
    <row r="16" spans="2:5" x14ac:dyDescent="0.3">
      <c r="B16" s="5" t="s">
        <v>62</v>
      </c>
      <c r="C16" s="29">
        <v>0.02</v>
      </c>
      <c r="D16" s="5" t="s">
        <v>83</v>
      </c>
      <c r="E16" s="39" t="s">
        <v>63</v>
      </c>
    </row>
    <row r="17" spans="2:5" x14ac:dyDescent="0.3">
      <c r="B17" s="5" t="s">
        <v>74</v>
      </c>
      <c r="C17" s="29">
        <v>0.68</v>
      </c>
      <c r="D17" s="5" t="s">
        <v>83</v>
      </c>
    </row>
    <row r="18" spans="2:5" x14ac:dyDescent="0.3">
      <c r="B18" s="5" t="s">
        <v>75</v>
      </c>
      <c r="C18" s="34">
        <v>24</v>
      </c>
      <c r="D18" s="5"/>
      <c r="E18" s="39" t="s">
        <v>64</v>
      </c>
    </row>
    <row r="19" spans="2:5" x14ac:dyDescent="0.3">
      <c r="B19" s="5" t="s">
        <v>76</v>
      </c>
      <c r="C19" s="35">
        <f>+C17/C18</f>
        <v>2.8333333333333335E-2</v>
      </c>
      <c r="D19" s="5"/>
    </row>
    <row r="21" spans="2:5" x14ac:dyDescent="0.3">
      <c r="B21" s="2" t="s">
        <v>54</v>
      </c>
      <c r="C21" s="25" t="s">
        <v>43</v>
      </c>
      <c r="D21" s="2" t="s">
        <v>55</v>
      </c>
    </row>
    <row r="22" spans="2:5" x14ac:dyDescent="0.3">
      <c r="B22" s="5" t="s">
        <v>69</v>
      </c>
      <c r="C22" s="27">
        <v>15</v>
      </c>
      <c r="D22" s="5" t="s">
        <v>56</v>
      </c>
    </row>
    <row r="23" spans="2:5" x14ac:dyDescent="0.3">
      <c r="B23" s="5" t="s">
        <v>70</v>
      </c>
      <c r="C23" s="27">
        <v>20</v>
      </c>
      <c r="D23" s="5" t="s">
        <v>56</v>
      </c>
    </row>
    <row r="24" spans="2:5" x14ac:dyDescent="0.3">
      <c r="B24" s="5" t="s">
        <v>71</v>
      </c>
      <c r="C24" s="5">
        <f>+C23+C22</f>
        <v>35</v>
      </c>
      <c r="D24" s="5" t="s">
        <v>56</v>
      </c>
    </row>
    <row r="25" spans="2:5" x14ac:dyDescent="0.3">
      <c r="B25" s="5" t="s">
        <v>57</v>
      </c>
      <c r="C25" s="27">
        <v>172</v>
      </c>
      <c r="D25" s="5" t="s">
        <v>58</v>
      </c>
    </row>
    <row r="26" spans="2:5" x14ac:dyDescent="0.3">
      <c r="B26" s="5" t="s">
        <v>89</v>
      </c>
      <c r="C26" s="5">
        <f>+C25/C11</f>
        <v>43</v>
      </c>
      <c r="D26" s="5" t="s">
        <v>73</v>
      </c>
    </row>
    <row r="27" spans="2:5" x14ac:dyDescent="0.3">
      <c r="B27" s="5" t="s">
        <v>59</v>
      </c>
      <c r="C27" s="11">
        <v>18</v>
      </c>
      <c r="D27" s="5" t="s">
        <v>78</v>
      </c>
    </row>
    <row r="28" spans="2:5" x14ac:dyDescent="0.3">
      <c r="B28" s="5" t="s">
        <v>60</v>
      </c>
      <c r="C28" s="7">
        <f>+C27/60</f>
        <v>0.3</v>
      </c>
      <c r="D28" s="5" t="s">
        <v>91</v>
      </c>
    </row>
    <row r="29" spans="2:5" x14ac:dyDescent="0.3">
      <c r="B29" s="5" t="s">
        <v>72</v>
      </c>
      <c r="C29" s="38">
        <f>ROUND(C24/C25*C11,2)</f>
        <v>0.81</v>
      </c>
      <c r="D29" s="5" t="s">
        <v>56</v>
      </c>
    </row>
    <row r="30" spans="2:5" x14ac:dyDescent="0.3">
      <c r="B30" s="5" t="s">
        <v>90</v>
      </c>
      <c r="C30" s="7">
        <f>+C29*C28</f>
        <v>0.24299999999999999</v>
      </c>
      <c r="D30" s="5" t="s">
        <v>79</v>
      </c>
    </row>
    <row r="32" spans="2:5" x14ac:dyDescent="0.3">
      <c r="B32" s="2" t="s">
        <v>84</v>
      </c>
      <c r="C32" s="2" t="s">
        <v>43</v>
      </c>
      <c r="D32" s="2" t="s">
        <v>94</v>
      </c>
    </row>
    <row r="33" spans="2:5" x14ac:dyDescent="0.3">
      <c r="B33" s="5" t="str">
        <f>+"Food cost per "&amp;C11&amp;"/"&amp;C10&amp;" "&amp;D10&amp;" pkg"</f>
        <v>Food cost per 4/85 grams/ml pkg</v>
      </c>
      <c r="C33" s="7">
        <f>+C12</f>
        <v>1.42</v>
      </c>
      <c r="D33" s="43">
        <f>+C33/$C$37</f>
        <v>0.78962001853568109</v>
      </c>
    </row>
    <row r="34" spans="2:5" x14ac:dyDescent="0.3">
      <c r="B34" s="5" t="s">
        <v>86</v>
      </c>
      <c r="C34" s="7">
        <f>+SUM(C15,C16)</f>
        <v>0.107</v>
      </c>
      <c r="D34" s="43">
        <f t="shared" ref="D34:D36" si="0">+C34/$C$37</f>
        <v>5.9499536607970339E-2</v>
      </c>
    </row>
    <row r="35" spans="2:5" x14ac:dyDescent="0.3">
      <c r="B35" s="5" t="s">
        <v>87</v>
      </c>
      <c r="C35" s="7">
        <f>+C19</f>
        <v>2.8333333333333335E-2</v>
      </c>
      <c r="D35" s="43">
        <f t="shared" si="0"/>
        <v>1.5755329008341059E-2</v>
      </c>
    </row>
    <row r="36" spans="2:5" x14ac:dyDescent="0.3">
      <c r="B36" s="5" t="s">
        <v>88</v>
      </c>
      <c r="C36" s="7">
        <f>+C30</f>
        <v>0.24299999999999999</v>
      </c>
      <c r="D36" s="43">
        <f t="shared" si="0"/>
        <v>0.1351251158480074</v>
      </c>
    </row>
    <row r="37" spans="2:5" x14ac:dyDescent="0.3">
      <c r="B37" s="2" t="s">
        <v>65</v>
      </c>
      <c r="C37" s="42">
        <f>SUM(C12,C15,C16,C19,C30)</f>
        <v>1.7983333333333333</v>
      </c>
      <c r="D37" s="2" t="str">
        <f>+"Total cost per "&amp;C11&amp;"/"&amp;$C$10&amp;" g/ml of "&amp;$C$3</f>
        <v xml:space="preserve">Total cost per 4/85 g/ml of Strawberry muffins </v>
      </c>
      <c r="E37" s="5"/>
    </row>
    <row r="38" spans="2:5" ht="29.4" customHeight="1" x14ac:dyDescent="0.3">
      <c r="C38" s="41">
        <v>0</v>
      </c>
      <c r="D38" s="47" t="s">
        <v>66</v>
      </c>
      <c r="E38" s="47"/>
    </row>
  </sheetData>
  <mergeCells count="2">
    <mergeCell ref="C3:D3"/>
    <mergeCell ref="D38:E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D3559CF1963E498943785C6AB7C103" ma:contentTypeVersion="3" ma:contentTypeDescription="Create a new document." ma:contentTypeScope="" ma:versionID="5bd35a26d9d67a4ba141bb8073fa34b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5d67c64f5ad55e9b267e11649b519b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0C6EE7-5B8D-441B-820B-EA839CA2A660}"/>
</file>

<file path=customXml/itemProps2.xml><?xml version="1.0" encoding="utf-8"?>
<ds:datastoreItem xmlns:ds="http://schemas.openxmlformats.org/officeDocument/2006/customXml" ds:itemID="{3BFA1F4D-6166-41CA-BD1F-C03030412ED4}"/>
</file>

<file path=customXml/itemProps3.xml><?xml version="1.0" encoding="utf-8"?>
<ds:datastoreItem xmlns:ds="http://schemas.openxmlformats.org/officeDocument/2006/customXml" ds:itemID="{ABB952E8-F9BC-4461-821A-4172FC3312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COGS</vt:lpstr>
      <vt:lpstr>WH gross Cost</vt:lpstr>
      <vt:lpstr>WH upcharge Cost</vt:lpstr>
      <vt:lpstr>WH gross Retail</vt:lpstr>
      <vt:lpstr>WH upcharge Retail</vt:lpstr>
      <vt:lpstr>COGS Example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quick-pricing-tool</dc:title>
  <dc:creator>Fidyk, Jeff</dc:creator>
  <cp:lastModifiedBy>Fidyk, Jeff</cp:lastModifiedBy>
  <dcterms:created xsi:type="dcterms:W3CDTF">2025-05-12T20:51:48Z</dcterms:created>
  <dcterms:modified xsi:type="dcterms:W3CDTF">2025-05-23T19:17:13Z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0x01010057D3559CF1963E498943785C6AB7C103</vt:lpwstr>
  </property>
</Properties>
</file>