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bookViews>
    <workbookView xWindow="360" yWindow="15" windowWidth="11340" windowHeight="6540"/>
  </bookViews>
  <sheets>
    <sheet name="Hay Shed" sheetId="1" r:id="rId1"/>
    <sheet name="Hay Tarp" sheetId="4" r:id="rId2"/>
  </sheets>
  <definedNames>
    <definedName name="_xlnm.Print_Area" localSheetId="0">'Hay Shed'!$A$1:$H$62</definedName>
    <definedName name="_xlnm.Print_Area" localSheetId="1">'Hay Tarp'!$A$1:$H$61</definedName>
  </definedNames>
  <calcPr calcId="162913"/>
</workbook>
</file>

<file path=xl/calcChain.xml><?xml version="1.0" encoding="utf-8"?>
<calcChain xmlns="http://schemas.openxmlformats.org/spreadsheetml/2006/main">
  <c r="H56" i="4" l="1"/>
  <c r="A45" i="4" l="1"/>
  <c r="C16" i="4"/>
  <c r="E28" i="4"/>
  <c r="B52" i="4"/>
  <c r="B51" i="4"/>
  <c r="B52" i="1"/>
  <c r="B51" i="1"/>
  <c r="B50" i="1"/>
  <c r="B47" i="1"/>
  <c r="B46" i="1"/>
  <c r="B45" i="1"/>
  <c r="E36" i="4"/>
  <c r="D36" i="4"/>
  <c r="E11" i="4"/>
  <c r="E12" i="4"/>
  <c r="E16" i="4"/>
  <c r="B48" i="4"/>
  <c r="B47" i="4"/>
  <c r="F45" i="4"/>
  <c r="E45" i="4"/>
  <c r="D45" i="4"/>
  <c r="F44" i="4"/>
  <c r="E44" i="4"/>
  <c r="D44" i="4"/>
  <c r="E37" i="4"/>
  <c r="D37" i="4"/>
  <c r="E32" i="4"/>
  <c r="D32" i="4"/>
  <c r="H3" i="4"/>
  <c r="A43" i="1"/>
  <c r="F42" i="1"/>
  <c r="E42" i="1"/>
  <c r="D42" i="1"/>
  <c r="E10" i="1"/>
  <c r="F43" i="1"/>
  <c r="E43" i="1"/>
  <c r="D43" i="1"/>
  <c r="F29" i="1"/>
  <c r="E29" i="1"/>
  <c r="D29" i="1"/>
  <c r="F35" i="1"/>
  <c r="E35" i="1"/>
  <c r="D35" i="1"/>
  <c r="C14" i="1"/>
  <c r="E14" i="1" s="1"/>
  <c r="D34" i="1"/>
  <c r="H3" i="1"/>
  <c r="D35" i="4"/>
  <c r="D28" i="4"/>
  <c r="D34" i="4"/>
  <c r="D38" i="4"/>
  <c r="D39" i="4" s="1"/>
  <c r="E35" i="4"/>
  <c r="D33" i="4"/>
  <c r="E33" i="4"/>
  <c r="E34" i="4"/>
  <c r="E38" i="4" s="1"/>
  <c r="E39" i="4" s="1"/>
  <c r="F32" i="1"/>
  <c r="D26" i="1"/>
  <c r="D30" i="1" s="1"/>
  <c r="F34" i="1"/>
  <c r="E32" i="1"/>
  <c r="D32" i="1"/>
  <c r="F33" i="1"/>
  <c r="D31" i="1" l="1"/>
  <c r="D33" i="1"/>
  <c r="E34" i="1"/>
  <c r="E26" i="1"/>
  <c r="E31" i="1" s="1"/>
  <c r="E33" i="1"/>
  <c r="F26" i="1"/>
  <c r="F31" i="1" s="1"/>
  <c r="D48" i="4"/>
  <c r="F52" i="4"/>
  <c r="E48" i="4"/>
  <c r="D52" i="4"/>
  <c r="E41" i="4"/>
  <c r="F48" i="4"/>
  <c r="E52" i="4"/>
  <c r="D51" i="4"/>
  <c r="E51" i="4"/>
  <c r="E47" i="4"/>
  <c r="F47" i="4"/>
  <c r="D41" i="4"/>
  <c r="F51" i="4"/>
  <c r="D47" i="4"/>
  <c r="E30" i="1" l="1"/>
  <c r="F30" i="1"/>
  <c r="F36" i="1" s="1"/>
  <c r="F37" i="1" s="1"/>
  <c r="E36" i="1"/>
  <c r="E37" i="1" s="1"/>
  <c r="D36" i="1"/>
  <c r="D37" i="1" s="1"/>
  <c r="F47" i="1" l="1"/>
  <c r="F39" i="1"/>
  <c r="E47" i="1"/>
  <c r="D47" i="1"/>
  <c r="E52" i="1"/>
  <c r="D52" i="1"/>
  <c r="F52" i="1"/>
  <c r="E50" i="1"/>
  <c r="D39" i="1"/>
  <c r="F50" i="1"/>
  <c r="D45" i="1"/>
  <c r="F45" i="1"/>
  <c r="D50" i="1"/>
  <c r="E45" i="1"/>
  <c r="D51" i="1"/>
  <c r="E51" i="1"/>
  <c r="F46" i="1"/>
  <c r="E46" i="1"/>
  <c r="F51" i="1"/>
  <c r="D46" i="1"/>
  <c r="E39" i="1"/>
</calcChain>
</file>

<file path=xl/comments1.xml><?xml version="1.0" encoding="utf-8"?>
<comments xmlns="http://schemas.openxmlformats.org/spreadsheetml/2006/main">
  <authors>
    <author>Roy Arnott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>300 cubic feet of square baled hay weighs 1 ton.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Crushed rock base may not not be required on all hay sheds and the value should then be set at 0.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Total Capital Cost equals shed construction cost plus crushed rock base cost.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Value loss due to unprotected hay storage ranges from 0 to 15%.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Annual Depreciation Cost = (original cost - salvage value) / number of years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Annual Investment Cost = ((original cost + salvage value) / 2) x investment rate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>Breakeven Hay Value ($ per ton) = Total Annual Cost $ per ton / Hay Value Loss % unprotected storage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>$ Value loss per ton = Value of Hay $ per ton x Hay Value Loss % unprotected storage</t>
        </r>
      </text>
    </comment>
    <comment ref="A44" authorId="0" shapeId="0">
      <text>
        <r>
          <rPr>
            <sz val="9"/>
            <color indexed="81"/>
            <rFont val="Tahoma"/>
            <family val="2"/>
          </rPr>
          <t xml:space="preserve">Profit or Loss $ per ton = $ Value loss per ton - Total Annual Storage Shed Cost </t>
        </r>
      </text>
    </comment>
    <comment ref="A49" authorId="0" shapeId="0">
      <text>
        <r>
          <rPr>
            <sz val="9"/>
            <color indexed="81"/>
            <rFont val="Tahoma"/>
            <family val="2"/>
          </rPr>
          <t>Breakeven % Hay Value Loss = ((Total Annual Storage Cost $ per ton x 100) / Value of Hay $ per ton) / 100</t>
        </r>
      </text>
    </comment>
  </commentList>
</comments>
</file>

<file path=xl/comments2.xml><?xml version="1.0" encoding="utf-8"?>
<comments xmlns="http://schemas.openxmlformats.org/spreadsheetml/2006/main">
  <authors>
    <author>Roy Arnott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>Total Capital Cost equals tarp cost plus rope and weight.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Value loss due to unprotected hay storage ranges from 0 to 15%.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Annual Depreciation Cost = (original cost - salvage value) / number of years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Annual Investment Cost = ((original cost + salvage value) / 2) x investment rate</t>
        </r>
      </text>
    </comment>
    <comment ref="A41" authorId="0" shapeId="0">
      <text>
        <r>
          <rPr>
            <sz val="9"/>
            <color indexed="81"/>
            <rFont val="Tahoma"/>
            <family val="2"/>
          </rPr>
          <t>Breakeven Hay Value ($ per ton) = Total Annual Cost $ per ton / Hay Value Loss % unprotected storage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>$ Value loss per ton = Value of Hay $ per ton x Hay Value Loss % unprotected storage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 xml:space="preserve">Profit or Loss $ per ton = $ Value loss per ton - Total Annual Storage Shed Cost 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>Breakeven % Hay Value Loss = ((Total Annual Storage Cost $ per ton x 100) / Value of Hay $ per ton) / 100</t>
        </r>
      </text>
    </comment>
  </commentList>
</comments>
</file>

<file path=xl/sharedStrings.xml><?xml version="1.0" encoding="utf-8"?>
<sst xmlns="http://schemas.openxmlformats.org/spreadsheetml/2006/main" count="100" uniqueCount="64">
  <si>
    <t>Investment rate</t>
  </si>
  <si>
    <t>Insurance cost %</t>
  </si>
  <si>
    <t>Repair rate %</t>
  </si>
  <si>
    <t>Taxes %</t>
  </si>
  <si>
    <t>Depreciation Cost</t>
  </si>
  <si>
    <t>Investment Cost</t>
  </si>
  <si>
    <t>Insurance cost</t>
  </si>
  <si>
    <t>Taxes</t>
  </si>
  <si>
    <t>Other</t>
  </si>
  <si>
    <t>Input section:</t>
  </si>
  <si>
    <t>Annual Cost</t>
  </si>
  <si>
    <t xml:space="preserve">. . . . . . . . . . . . . . . . . . . . . . . . . . . . . . . . . . . . . . . . . . . . . . . . . . . . . . . . . . . </t>
  </si>
  <si>
    <t>Printed:</t>
  </si>
  <si>
    <r>
      <t xml:space="preserve">*** Enter changes to </t>
    </r>
    <r>
      <rPr>
        <b/>
        <sz val="9"/>
        <color indexed="12"/>
        <rFont val="Arial"/>
        <family val="2"/>
      </rPr>
      <t xml:space="preserve">BLUE </t>
    </r>
    <r>
      <rPr>
        <sz val="9"/>
        <rFont val="Arial"/>
        <family val="2"/>
      </rPr>
      <t>values only ***</t>
    </r>
  </si>
  <si>
    <t>Hay Storage Shed Cost Calculator</t>
  </si>
  <si>
    <t>Hay Shed Size - width</t>
  </si>
  <si>
    <t>feet</t>
  </si>
  <si>
    <t>Hay Shed Size - length</t>
  </si>
  <si>
    <t>Hay Shed Size - height</t>
  </si>
  <si>
    <t>Shed Construction Cost</t>
  </si>
  <si>
    <t>Total Capital Cost per Ton</t>
  </si>
  <si>
    <t>Useful Shed Lifespan (years)</t>
  </si>
  <si>
    <t>Ending Salvage Value</t>
  </si>
  <si>
    <t>Ending Salvage Value (% of original)</t>
  </si>
  <si>
    <t>ton square bale capacity</t>
  </si>
  <si>
    <t>Total Cost Per Year</t>
  </si>
  <si>
    <t>Value of Hay ($ per ton)</t>
  </si>
  <si>
    <t xml:space="preserve">Hay value loss - unprotected storage </t>
  </si>
  <si>
    <t>feet              =</t>
  </si>
  <si>
    <t xml:space="preserve">Value of Hay </t>
  </si>
  <si>
    <t>Hay Storage Shed Cost Calculations:</t>
  </si>
  <si>
    <t>Hay Value Loss vs Storage Shed Cost</t>
  </si>
  <si>
    <t>Low</t>
  </si>
  <si>
    <t>Medium</t>
  </si>
  <si>
    <t>High</t>
  </si>
  <si>
    <t>Repair Cost</t>
  </si>
  <si>
    <t>Crushed Rock Base Cost</t>
  </si>
  <si>
    <t>Total Capital Cost</t>
  </si>
  <si>
    <t xml:space="preserve">            =</t>
  </si>
  <si>
    <t>Breakeven Hay Value ($ per ton)</t>
  </si>
  <si>
    <t>Total Annual Cost ($ Per Ton)</t>
  </si>
  <si>
    <t>per year</t>
  </si>
  <si>
    <t>Hay Storage Shed Cost Planner</t>
  </si>
  <si>
    <t>Hay Storage Tarp Cost Planner</t>
  </si>
  <si>
    <t>Hay Tarp Size - width</t>
  </si>
  <si>
    <t>Hay Tarp Size - length</t>
  </si>
  <si>
    <t>Bale Stack Height</t>
  </si>
  <si>
    <t>Hay Tarp overhang length</t>
  </si>
  <si>
    <t>cubic feet of hay</t>
  </si>
  <si>
    <t xml:space="preserve">                    =</t>
  </si>
  <si>
    <t>tons of hay</t>
  </si>
  <si>
    <t>Tarp Cost</t>
  </si>
  <si>
    <t>Rope and Weights</t>
  </si>
  <si>
    <t>Installation Labour</t>
  </si>
  <si>
    <t>Labour Rate ($ per hour)</t>
  </si>
  <si>
    <t>Useful Tarp Lifespan (years)</t>
  </si>
  <si>
    <t>Hay Tarp Cost Calculations:</t>
  </si>
  <si>
    <t>Intallation Cost</t>
  </si>
  <si>
    <t xml:space="preserve">Breakeven Hay Value Loss </t>
  </si>
  <si>
    <t>Hay Storage Tarp Cost Calculator</t>
  </si>
  <si>
    <t>Investment rate %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</si>
  <si>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forage storage facility planning.  Interpretation and use of this information is the responsibility of the user.  If you need help with a budget, contact your local Manitoba Agriculture GO Office.</t>
    </r>
  </si>
  <si>
    <t>October, 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</si>
  <si>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forage storage facility planning.  Interpretation and use of this information is the responsibility of the user.  If you need help with a budget, contact a Farm Management Specialist.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</si>
</sst>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&quot;$&quot;#,##0.00_);\(&quot;$&quot;#,##0.00\)"/>
    <numFmt numFmtId="165" formatCode="0.0%"/>
    <numFmt numFmtId="166" formatCode="_-&quot;$&quot;* #,##0_-;\-&quot;$&quot;* #,##0_-;_-&quot;$&quot;* &quot;-&quot;??_-;_-@_-"/>
    <numFmt numFmtId="167" formatCode="&quot;$&quot;#,##0"/>
    <numFmt numFmtId="168" formatCode="&quot;$&quot;#,##0.00"/>
    <numFmt numFmtId="169" formatCode="&quot;$&quot;#,##0.000"/>
    <numFmt numFmtId="170" formatCode="0.0"/>
  </numFmts>
  <fonts count="2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3.5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8" fontId="3" fillId="0" borderId="0">
      <alignment vertical="top"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6" fillId="0" borderId="0" xfId="0" applyFont="1" applyFill="1" applyAlignment="1" applyProtection="1"/>
    <xf numFmtId="0" fontId="17" fillId="0" borderId="0" xfId="0" applyFont="1" applyFill="1" applyAlignment="1" applyProtection="1"/>
    <xf numFmtId="0" fontId="18" fillId="0" borderId="0" xfId="0" applyFont="1" applyFill="1" applyAlignment="1" applyProtection="1">
      <alignment horizontal="right"/>
    </xf>
    <xf numFmtId="14" fontId="7" fillId="0" borderId="0" xfId="0" applyNumberFormat="1" applyFont="1" applyAlignment="1" applyProtection="1">
      <alignment horizontal="right"/>
    </xf>
    <xf numFmtId="0" fontId="19" fillId="0" borderId="0" xfId="0" applyFont="1" applyFill="1" applyAlignment="1" applyProtection="1"/>
    <xf numFmtId="0" fontId="3" fillId="0" borderId="0" xfId="0" applyFont="1" applyFill="1"/>
    <xf numFmtId="0" fontId="8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12" fillId="0" borderId="0" xfId="0" applyFont="1" applyAlignment="1"/>
    <xf numFmtId="0" fontId="20" fillId="0" borderId="0" xfId="0" applyFont="1" applyBorder="1" applyAlignment="1" applyProtection="1"/>
    <xf numFmtId="0" fontId="0" fillId="0" borderId="0" xfId="0" applyFont="1" applyFill="1" applyAlignment="1" applyProtection="1"/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/>
    <xf numFmtId="168" fontId="21" fillId="0" borderId="0" xfId="2" applyNumberFormat="1" applyFont="1" applyProtection="1">
      <alignment vertical="top"/>
    </xf>
    <xf numFmtId="0" fontId="11" fillId="0" borderId="0" xfId="0" applyFont="1" applyAlignment="1" applyProtection="1"/>
    <xf numFmtId="0" fontId="11" fillId="0" borderId="0" xfId="0" applyFont="1" applyAlignment="1"/>
    <xf numFmtId="168" fontId="0" fillId="0" borderId="0" xfId="3" applyFont="1" applyBorder="1" applyProtection="1">
      <alignment vertical="top"/>
    </xf>
    <xf numFmtId="0" fontId="0" fillId="0" borderId="0" xfId="0" applyFont="1" applyAlignment="1" applyProtection="1"/>
    <xf numFmtId="0" fontId="0" fillId="0" borderId="0" xfId="0" applyFont="1" applyAlignment="1"/>
    <xf numFmtId="0" fontId="3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167" fontId="2" fillId="0" borderId="1" xfId="1" applyNumberFormat="1" applyFont="1" applyFill="1" applyBorder="1" applyProtection="1"/>
    <xf numFmtId="167" fontId="5" fillId="0" borderId="1" xfId="1" applyNumberFormat="1" applyFont="1" applyFill="1" applyBorder="1" applyProtection="1"/>
    <xf numFmtId="168" fontId="2" fillId="0" borderId="0" xfId="0" applyNumberFormat="1" applyFont="1" applyFill="1" applyProtection="1"/>
    <xf numFmtId="168" fontId="2" fillId="0" borderId="0" xfId="1" applyNumberFormat="1" applyFont="1" applyFill="1" applyProtection="1"/>
    <xf numFmtId="169" fontId="2" fillId="0" borderId="0" xfId="0" applyNumberFormat="1" applyFont="1" applyFill="1" applyBorder="1" applyProtection="1"/>
    <xf numFmtId="0" fontId="3" fillId="0" borderId="0" xfId="0" applyFont="1" applyProtection="1"/>
    <xf numFmtId="3" fontId="4" fillId="0" borderId="1" xfId="0" applyNumberFormat="1" applyFont="1" applyFill="1" applyBorder="1" applyProtection="1">
      <protection locked="0"/>
    </xf>
    <xf numFmtId="166" fontId="4" fillId="0" borderId="1" xfId="1" applyNumberFormat="1" applyFont="1" applyFill="1" applyBorder="1" applyProtection="1">
      <protection locked="0"/>
    </xf>
    <xf numFmtId="165" fontId="4" fillId="0" borderId="1" xfId="4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7" fontId="2" fillId="0" borderId="0" xfId="1" applyNumberFormat="1" applyFont="1" applyFill="1" applyBorder="1" applyProtection="1"/>
    <xf numFmtId="0" fontId="3" fillId="0" borderId="0" xfId="0" applyFont="1" applyFill="1" applyBorder="1"/>
    <xf numFmtId="167" fontId="5" fillId="0" borderId="0" xfId="1" applyNumberFormat="1" applyFont="1" applyFill="1" applyBorder="1" applyProtection="1"/>
    <xf numFmtId="167" fontId="2" fillId="0" borderId="0" xfId="0" applyNumberFormat="1" applyFont="1" applyFill="1" applyProtection="1"/>
    <xf numFmtId="167" fontId="2" fillId="0" borderId="0" xfId="1" applyNumberFormat="1" applyFont="1" applyFill="1" applyProtection="1"/>
    <xf numFmtId="167" fontId="2" fillId="0" borderId="0" xfId="0" applyNumberFormat="1" applyFont="1" applyFill="1" applyBorder="1" applyProtection="1"/>
    <xf numFmtId="168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9" fontId="4" fillId="0" borderId="1" xfId="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</xf>
    <xf numFmtId="167" fontId="2" fillId="0" borderId="2" xfId="1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165" fontId="2" fillId="0" borderId="0" xfId="0" applyNumberFormat="1" applyFont="1" applyFill="1" applyBorder="1" applyProtection="1"/>
    <xf numFmtId="0" fontId="2" fillId="0" borderId="3" xfId="0" applyFont="1" applyFill="1" applyBorder="1" applyAlignment="1" applyProtection="1">
      <alignment horizontal="center" vertical="top"/>
    </xf>
    <xf numFmtId="166" fontId="2" fillId="0" borderId="3" xfId="0" applyNumberFormat="1" applyFont="1" applyFill="1" applyBorder="1" applyAlignment="1" applyProtection="1">
      <alignment horizontal="center" vertical="top"/>
    </xf>
    <xf numFmtId="168" fontId="2" fillId="0" borderId="1" xfId="1" applyNumberFormat="1" applyFont="1" applyFill="1" applyBorder="1" applyProtection="1"/>
    <xf numFmtId="0" fontId="2" fillId="0" borderId="0" xfId="0" applyFont="1" applyFill="1" applyBorder="1" applyAlignment="1" applyProtection="1">
      <alignment vertical="top"/>
    </xf>
    <xf numFmtId="168" fontId="2" fillId="0" borderId="2" xfId="1" applyNumberFormat="1" applyFont="1" applyFill="1" applyBorder="1" applyProtection="1"/>
    <xf numFmtId="3" fontId="4" fillId="0" borderId="0" xfId="0" applyNumberFormat="1" applyFont="1" applyFill="1" applyBorder="1" applyProtection="1"/>
    <xf numFmtId="166" fontId="4" fillId="0" borderId="0" xfId="1" applyNumberFormat="1" applyFont="1" applyFill="1" applyBorder="1" applyProtection="1"/>
    <xf numFmtId="165" fontId="4" fillId="0" borderId="0" xfId="4" applyNumberFormat="1" applyFont="1" applyFill="1" applyBorder="1" applyProtection="1"/>
    <xf numFmtId="9" fontId="4" fillId="0" borderId="0" xfId="4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9" fontId="4" fillId="0" borderId="0" xfId="4" applyNumberFormat="1" applyFont="1" applyFill="1" applyBorder="1" applyAlignment="1" applyProtection="1">
      <alignment horizontal="center"/>
    </xf>
    <xf numFmtId="10" fontId="4" fillId="0" borderId="1" xfId="4" applyNumberFormat="1" applyFont="1" applyFill="1" applyBorder="1" applyAlignment="1" applyProtection="1">
      <alignment horizontal="center"/>
      <protection locked="0"/>
    </xf>
    <xf numFmtId="166" fontId="4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168" fontId="10" fillId="0" borderId="0" xfId="3" applyFont="1" applyAlignment="1" applyProtection="1">
      <alignment horizontal="left" vertical="top" wrapText="1"/>
    </xf>
    <xf numFmtId="0" fontId="20" fillId="0" borderId="4" xfId="0" applyFont="1" applyBorder="1" applyAlignment="1" applyProtection="1"/>
    <xf numFmtId="0" fontId="6" fillId="0" borderId="5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170" fontId="6" fillId="0" borderId="0" xfId="0" applyNumberFormat="1" applyFont="1" applyAlignment="1"/>
    <xf numFmtId="168" fontId="6" fillId="0" borderId="0" xfId="0" applyNumberFormat="1" applyFont="1" applyAlignment="1"/>
    <xf numFmtId="0" fontId="20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/>
    <xf numFmtId="0" fontId="22" fillId="0" borderId="0" xfId="0" applyFont="1" applyBorder="1" applyAlignment="1">
      <alignment horizontal="left" vertical="top"/>
    </xf>
    <xf numFmtId="0" fontId="20" fillId="0" borderId="5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8" fontId="6" fillId="0" borderId="0" xfId="3" applyFont="1">
      <alignment vertical="top"/>
    </xf>
    <xf numFmtId="168" fontId="6" fillId="0" borderId="0" xfId="3" applyFont="1" applyFill="1">
      <alignment vertical="top"/>
    </xf>
    <xf numFmtId="168" fontId="6" fillId="0" borderId="0" xfId="3" applyFont="1" applyAlignment="1" applyProtection="1">
      <alignment horizontal="left" vertical="top" wrapText="1"/>
    </xf>
    <xf numFmtId="168" fontId="10" fillId="0" borderId="0" xfId="3" applyFont="1" applyAlignment="1" applyProtection="1">
      <alignment horizontal="left" vertical="top" wrapText="1"/>
    </xf>
    <xf numFmtId="0" fontId="23" fillId="2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/>
    </xf>
    <xf numFmtId="168" fontId="21" fillId="0" borderId="0" xfId="2" applyNumberFormat="1" applyFont="1" applyFill="1" applyAlignment="1" applyProtection="1">
      <alignment horizontal="left" vertical="top"/>
    </xf>
  </cellXfs>
  <cellStyles count="5">
    <cellStyle name="Currency" xfId="1" builtinId="4"/>
    <cellStyle name="Hyperlink" xfId="2" builtinId="8"/>
    <cellStyle name="Normal" xfId="0" builtinId="0"/>
    <cellStyle name="Normal_Farrow-Wean 500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0</xdr:row>
      <xdr:rowOff>171450</xdr:rowOff>
    </xdr:from>
    <xdr:to>
      <xdr:col>7</xdr:col>
      <xdr:colOff>361951</xdr:colOff>
      <xdr:row>1</xdr:row>
      <xdr:rowOff>171450</xdr:rowOff>
    </xdr:to>
    <xdr:pic>
      <xdr:nvPicPr>
        <xdr:cNvPr id="1243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171450"/>
          <a:ext cx="1905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1428750</xdr:colOff>
      <xdr:row>57</xdr:row>
      <xdr:rowOff>66675</xdr:rowOff>
    </xdr:from>
    <xdr:to>
      <xdr:col>5</xdr:col>
      <xdr:colOff>133350</xdr:colOff>
      <xdr:row>61</xdr:row>
      <xdr:rowOff>83101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1144250"/>
          <a:ext cx="3838575" cy="8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171450</xdr:rowOff>
    </xdr:from>
    <xdr:to>
      <xdr:col>7</xdr:col>
      <xdr:colOff>361950</xdr:colOff>
      <xdr:row>1</xdr:row>
      <xdr:rowOff>171450</xdr:rowOff>
    </xdr:to>
    <xdr:pic>
      <xdr:nvPicPr>
        <xdr:cNvPr id="2168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71450"/>
          <a:ext cx="1581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1343025</xdr:colOff>
      <xdr:row>56</xdr:row>
      <xdr:rowOff>85725</xdr:rowOff>
    </xdr:from>
    <xdr:to>
      <xdr:col>5</xdr:col>
      <xdr:colOff>314325</xdr:colOff>
      <xdr:row>60</xdr:row>
      <xdr:rowOff>140251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953750"/>
          <a:ext cx="3838575" cy="8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Normal="100" workbookViewId="0">
      <selection activeCell="C8" sqref="C8"/>
    </sheetView>
  </sheetViews>
  <sheetFormatPr defaultRowHeight="15" x14ac:dyDescent="0.2"/>
  <cols>
    <col min="1" max="1" width="6.140625" style="36" customWidth="1"/>
    <col min="2" max="2" width="26.7109375" style="36" customWidth="1"/>
    <col min="3" max="3" width="15.42578125" style="36" customWidth="1"/>
    <col min="4" max="4" width="19.42578125" style="36" customWidth="1"/>
    <col min="5" max="6" width="15.42578125" style="36" customWidth="1"/>
    <col min="7" max="11" width="9.140625" style="36"/>
    <col min="12" max="16384" width="9.140625" style="1"/>
  </cols>
  <sheetData>
    <row r="1" spans="1:11" s="4" customFormat="1" ht="27" customHeight="1" x14ac:dyDescent="0.2">
      <c r="A1" s="2"/>
      <c r="B1" s="2"/>
      <c r="C1" s="3"/>
      <c r="D1" s="3"/>
      <c r="E1" s="3"/>
      <c r="F1" s="3"/>
    </row>
    <row r="2" spans="1:11" s="4" customFormat="1" ht="27" x14ac:dyDescent="0.35">
      <c r="A2" s="5" t="s">
        <v>11</v>
      </c>
      <c r="B2" s="2"/>
      <c r="C2" s="3"/>
      <c r="D2" s="3"/>
      <c r="E2" s="3"/>
      <c r="F2" s="3"/>
    </row>
    <row r="3" spans="1:11" s="4" customFormat="1" ht="17.25" x14ac:dyDescent="0.25">
      <c r="A3" s="6" t="s">
        <v>42</v>
      </c>
      <c r="B3" s="2"/>
      <c r="C3" s="3"/>
      <c r="D3" s="3"/>
      <c r="G3" s="7" t="s">
        <v>12</v>
      </c>
      <c r="H3" s="8">
        <f ca="1">TODAY()</f>
        <v>44841</v>
      </c>
    </row>
    <row r="4" spans="1:11" s="4" customFormat="1" ht="7.5" customHeight="1" x14ac:dyDescent="0.25">
      <c r="A4" s="9"/>
      <c r="B4" s="2"/>
      <c r="C4" s="3"/>
      <c r="D4" s="3"/>
      <c r="G4" s="7"/>
      <c r="H4" s="8"/>
    </row>
    <row r="5" spans="1:11" s="10" customFormat="1" x14ac:dyDescent="0.2">
      <c r="A5" s="11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0" customFormat="1" ht="15.75" x14ac:dyDescent="0.25">
      <c r="A6" s="88" t="s">
        <v>14</v>
      </c>
      <c r="B6" s="88"/>
      <c r="C6" s="88"/>
      <c r="D6" s="88"/>
      <c r="E6" s="88"/>
      <c r="F6" s="88"/>
      <c r="G6" s="88"/>
      <c r="H6" s="88"/>
      <c r="I6" s="26"/>
      <c r="J6" s="26"/>
      <c r="K6" s="26"/>
    </row>
    <row r="7" spans="1:11" s="10" customFormat="1" ht="15.75" x14ac:dyDescent="0.25">
      <c r="A7" s="27" t="s">
        <v>9</v>
      </c>
      <c r="B7" s="26"/>
      <c r="C7" s="26"/>
      <c r="D7" s="26"/>
      <c r="E7" s="27"/>
      <c r="F7" s="26"/>
      <c r="G7" s="26"/>
      <c r="H7" s="26"/>
      <c r="I7" s="26"/>
      <c r="J7" s="26"/>
      <c r="K7" s="26"/>
    </row>
    <row r="8" spans="1:11" s="10" customFormat="1" ht="15.75" x14ac:dyDescent="0.25">
      <c r="A8" s="26"/>
      <c r="B8" s="28" t="s">
        <v>15</v>
      </c>
      <c r="C8" s="37">
        <v>80</v>
      </c>
      <c r="D8" s="40" t="s">
        <v>16</v>
      </c>
      <c r="E8" s="26"/>
      <c r="F8" s="29"/>
      <c r="G8" s="26"/>
      <c r="H8" s="26"/>
      <c r="I8" s="26"/>
      <c r="J8" s="26"/>
      <c r="K8" s="26"/>
    </row>
    <row r="9" spans="1:11" s="10" customFormat="1" ht="15.75" x14ac:dyDescent="0.25">
      <c r="A9" s="26"/>
      <c r="B9" s="28" t="s">
        <v>17</v>
      </c>
      <c r="C9" s="37">
        <v>200</v>
      </c>
      <c r="D9" s="40" t="s">
        <v>16</v>
      </c>
      <c r="E9" s="26"/>
      <c r="F9" s="29"/>
      <c r="G9" s="26"/>
      <c r="H9" s="26"/>
      <c r="I9" s="26"/>
      <c r="J9" s="26"/>
      <c r="K9" s="26"/>
    </row>
    <row r="10" spans="1:11" s="10" customFormat="1" ht="15.75" x14ac:dyDescent="0.25">
      <c r="A10" s="26"/>
      <c r="B10" s="28" t="s">
        <v>18</v>
      </c>
      <c r="C10" s="37">
        <v>20</v>
      </c>
      <c r="D10" s="40" t="s">
        <v>28</v>
      </c>
      <c r="E10" s="50">
        <f>SUM((C8*C9*C10)/300)</f>
        <v>1066.6666666666667</v>
      </c>
      <c r="F10" s="28" t="s">
        <v>24</v>
      </c>
      <c r="G10" s="26"/>
      <c r="H10" s="26"/>
      <c r="I10" s="26"/>
      <c r="J10" s="26"/>
      <c r="K10" s="26"/>
    </row>
    <row r="11" spans="1:11" s="10" customFormat="1" ht="7.5" customHeight="1" x14ac:dyDescent="0.25">
      <c r="A11" s="26"/>
      <c r="B11" s="28"/>
      <c r="C11" s="62"/>
      <c r="D11" s="40"/>
      <c r="E11" s="26"/>
      <c r="F11" s="29"/>
      <c r="G11" s="26"/>
      <c r="H11" s="26"/>
      <c r="I11" s="26"/>
      <c r="J11" s="26"/>
      <c r="K11" s="26"/>
    </row>
    <row r="12" spans="1:11" s="10" customFormat="1" ht="15.75" x14ac:dyDescent="0.25">
      <c r="A12" s="26"/>
      <c r="B12" s="26" t="s">
        <v>19</v>
      </c>
      <c r="C12" s="38">
        <v>178000</v>
      </c>
      <c r="D12" s="30"/>
      <c r="E12" s="26"/>
      <c r="F12" s="26"/>
      <c r="G12" s="26"/>
      <c r="H12" s="26"/>
      <c r="I12" s="26"/>
      <c r="J12" s="26"/>
      <c r="K12" s="26"/>
    </row>
    <row r="13" spans="1:11" s="10" customFormat="1" ht="15.75" x14ac:dyDescent="0.25">
      <c r="A13" s="26"/>
      <c r="B13" s="26" t="s">
        <v>36</v>
      </c>
      <c r="C13" s="38">
        <v>50000</v>
      </c>
      <c r="D13" s="29"/>
      <c r="E13" s="26"/>
      <c r="F13" s="26"/>
      <c r="G13" s="26"/>
      <c r="H13" s="26"/>
      <c r="I13" s="26"/>
      <c r="J13" s="26"/>
      <c r="K13" s="26"/>
    </row>
    <row r="14" spans="1:11" s="10" customFormat="1" ht="15.75" x14ac:dyDescent="0.25">
      <c r="A14" s="26"/>
      <c r="B14" s="29" t="s">
        <v>37</v>
      </c>
      <c r="C14" s="31">
        <f>SUM(C12+C13)</f>
        <v>228000</v>
      </c>
      <c r="D14" s="40" t="s">
        <v>38</v>
      </c>
      <c r="E14" s="31">
        <f>SUM(C14/E10)</f>
        <v>213.74999999999997</v>
      </c>
      <c r="F14" s="26" t="s">
        <v>20</v>
      </c>
      <c r="G14" s="26"/>
      <c r="H14" s="26"/>
      <c r="I14" s="26"/>
      <c r="J14" s="26"/>
      <c r="K14" s="26"/>
    </row>
    <row r="15" spans="1:11" s="43" customFormat="1" ht="7.5" customHeight="1" x14ac:dyDescent="0.25">
      <c r="A15" s="40"/>
      <c r="B15" s="40"/>
      <c r="C15" s="63"/>
      <c r="D15" s="41"/>
      <c r="E15" s="42"/>
      <c r="F15" s="40"/>
      <c r="G15" s="40"/>
      <c r="H15" s="40"/>
      <c r="I15" s="40"/>
      <c r="J15" s="40"/>
      <c r="K15" s="40"/>
    </row>
    <row r="16" spans="1:11" s="10" customFormat="1" ht="15.75" x14ac:dyDescent="0.25">
      <c r="A16" s="26"/>
      <c r="B16" s="26" t="s">
        <v>27</v>
      </c>
      <c r="C16" s="26"/>
      <c r="D16" s="39">
        <v>7.0000000000000007E-2</v>
      </c>
      <c r="E16" s="26" t="s">
        <v>41</v>
      </c>
      <c r="F16" s="26"/>
      <c r="G16" s="26"/>
      <c r="H16" s="26"/>
      <c r="I16" s="26"/>
      <c r="J16" s="26"/>
      <c r="K16" s="26"/>
    </row>
    <row r="17" spans="1:11" s="10" customFormat="1" ht="15.75" customHeight="1" x14ac:dyDescent="0.25">
      <c r="A17" s="26"/>
      <c r="B17" s="26"/>
      <c r="C17" s="26"/>
      <c r="D17" s="26"/>
      <c r="E17" s="64"/>
      <c r="F17" s="26"/>
      <c r="G17" s="26"/>
      <c r="H17" s="26"/>
      <c r="I17" s="26"/>
      <c r="J17" s="26"/>
      <c r="K17" s="26"/>
    </row>
    <row r="18" spans="1:11" s="10" customFormat="1" ht="15.75" x14ac:dyDescent="0.25">
      <c r="A18" s="26"/>
      <c r="B18" s="26"/>
      <c r="C18" s="26"/>
      <c r="D18" s="55" t="s">
        <v>32</v>
      </c>
      <c r="E18" s="55" t="s">
        <v>33</v>
      </c>
      <c r="F18" s="55" t="s">
        <v>34</v>
      </c>
      <c r="G18" s="26"/>
      <c r="H18" s="26"/>
      <c r="I18" s="26"/>
      <c r="J18" s="26"/>
      <c r="K18" s="26"/>
    </row>
    <row r="19" spans="1:11" s="10" customFormat="1" ht="15.75" x14ac:dyDescent="0.25">
      <c r="A19" s="26"/>
      <c r="B19" s="26" t="s">
        <v>26</v>
      </c>
      <c r="C19" s="26"/>
      <c r="D19" s="38">
        <v>100</v>
      </c>
      <c r="E19" s="38">
        <v>120</v>
      </c>
      <c r="F19" s="38">
        <v>200</v>
      </c>
      <c r="G19" s="26"/>
      <c r="H19" s="26"/>
      <c r="I19" s="26"/>
      <c r="J19" s="26"/>
      <c r="K19" s="26"/>
    </row>
    <row r="20" spans="1:11" s="43" customFormat="1" ht="7.5" customHeight="1" x14ac:dyDescent="0.25">
      <c r="A20" s="40"/>
      <c r="B20" s="40"/>
      <c r="C20" s="63"/>
      <c r="D20" s="41"/>
      <c r="E20" s="42"/>
      <c r="F20" s="40"/>
      <c r="G20" s="40"/>
      <c r="H20" s="40"/>
      <c r="I20" s="40"/>
      <c r="J20" s="40"/>
      <c r="K20" s="40"/>
    </row>
    <row r="21" spans="1:11" s="10" customFormat="1" x14ac:dyDescent="0.2">
      <c r="A21" s="26"/>
      <c r="B21" s="30" t="s">
        <v>60</v>
      </c>
      <c r="C21" s="30" t="s">
        <v>2</v>
      </c>
      <c r="D21" s="70" t="s">
        <v>1</v>
      </c>
      <c r="E21" s="30" t="s">
        <v>3</v>
      </c>
      <c r="F21" s="30" t="s">
        <v>8</v>
      </c>
      <c r="G21" s="26"/>
      <c r="H21" s="26"/>
      <c r="I21" s="26"/>
      <c r="J21" s="26"/>
      <c r="K21" s="26"/>
    </row>
    <row r="22" spans="1:11" s="10" customFormat="1" ht="15.75" x14ac:dyDescent="0.25">
      <c r="A22" s="26"/>
      <c r="B22" s="68">
        <v>0.03</v>
      </c>
      <c r="C22" s="68">
        <v>2.5000000000000001E-3</v>
      </c>
      <c r="D22" s="68">
        <v>5.0000000000000001E-3</v>
      </c>
      <c r="E22" s="68">
        <v>5.0000000000000001E-3</v>
      </c>
      <c r="F22" s="69">
        <v>0</v>
      </c>
      <c r="G22" s="26"/>
      <c r="H22" s="26"/>
      <c r="I22" s="26"/>
      <c r="J22" s="26"/>
      <c r="K22" s="26"/>
    </row>
    <row r="23" spans="1:11" s="10" customFormat="1" ht="15.75" x14ac:dyDescent="0.25">
      <c r="A23" s="26"/>
      <c r="B23" s="26"/>
      <c r="C23" s="26"/>
      <c r="D23" s="63"/>
      <c r="E23" s="26"/>
      <c r="F23" s="26"/>
      <c r="G23" s="26"/>
      <c r="H23" s="26"/>
      <c r="I23" s="26"/>
      <c r="J23" s="26"/>
      <c r="K23" s="26"/>
    </row>
    <row r="24" spans="1:11" s="10" customFormat="1" ht="15.75" x14ac:dyDescent="0.25">
      <c r="A24" s="26"/>
      <c r="B24" s="26" t="s">
        <v>21</v>
      </c>
      <c r="C24" s="26"/>
      <c r="D24" s="51">
        <v>20</v>
      </c>
      <c r="E24" s="51">
        <v>25</v>
      </c>
      <c r="F24" s="51">
        <v>30</v>
      </c>
      <c r="G24" s="26"/>
      <c r="H24" s="26"/>
      <c r="I24" s="26"/>
      <c r="J24" s="26"/>
      <c r="K24" s="26"/>
    </row>
    <row r="25" spans="1:11" s="10" customFormat="1" ht="15.75" x14ac:dyDescent="0.25">
      <c r="A25" s="26"/>
      <c r="B25" s="26" t="s">
        <v>23</v>
      </c>
      <c r="C25" s="26"/>
      <c r="D25" s="52">
        <v>0.1</v>
      </c>
      <c r="E25" s="52">
        <v>0.05</v>
      </c>
      <c r="F25" s="52">
        <v>0</v>
      </c>
      <c r="G25" s="26"/>
      <c r="H25" s="26"/>
      <c r="I25" s="26"/>
      <c r="J25" s="26"/>
      <c r="K25" s="26"/>
    </row>
    <row r="26" spans="1:11" s="10" customFormat="1" ht="15.75" x14ac:dyDescent="0.25">
      <c r="A26" s="26"/>
      <c r="B26" s="26" t="s">
        <v>22</v>
      </c>
      <c r="C26" s="65"/>
      <c r="D26" s="32">
        <f>$C$14*D25</f>
        <v>22800</v>
      </c>
      <c r="E26" s="32">
        <f>$C$14*E25</f>
        <v>11400</v>
      </c>
      <c r="F26" s="32">
        <f>$C$14*F25</f>
        <v>0</v>
      </c>
      <c r="G26" s="26"/>
      <c r="H26" s="26"/>
      <c r="I26" s="26"/>
      <c r="J26" s="26"/>
      <c r="K26" s="26"/>
    </row>
    <row r="27" spans="1:11" s="10" customFormat="1" ht="15.75" x14ac:dyDescent="0.25">
      <c r="A27" s="26"/>
      <c r="B27" s="26"/>
      <c r="C27" s="65"/>
      <c r="D27" s="44"/>
      <c r="E27" s="26"/>
      <c r="F27" s="26"/>
      <c r="G27" s="26"/>
      <c r="H27" s="26"/>
      <c r="I27" s="26"/>
      <c r="J27" s="26"/>
      <c r="K27" s="26"/>
    </row>
    <row r="28" spans="1:11" s="10" customFormat="1" ht="15.75" customHeight="1" thickBot="1" x14ac:dyDescent="0.25">
      <c r="A28" s="26"/>
      <c r="B28" s="26"/>
      <c r="C28" s="26"/>
      <c r="D28" s="89" t="s">
        <v>10</v>
      </c>
      <c r="E28" s="89"/>
      <c r="F28" s="89"/>
      <c r="G28" s="26"/>
      <c r="H28" s="26"/>
      <c r="I28" s="26"/>
      <c r="J28" s="26"/>
      <c r="K28" s="26"/>
    </row>
    <row r="29" spans="1:11" s="10" customFormat="1" ht="16.5" thickBot="1" x14ac:dyDescent="0.25">
      <c r="A29" s="91" t="s">
        <v>30</v>
      </c>
      <c r="B29" s="91"/>
      <c r="C29" s="91"/>
      <c r="D29" s="57" t="str">
        <f>D24&amp;" Years"</f>
        <v>20 Years</v>
      </c>
      <c r="E29" s="57" t="str">
        <f>E24&amp;" Years"</f>
        <v>25 Years</v>
      </c>
      <c r="F29" s="57" t="str">
        <f>F24&amp;" Years"</f>
        <v>30 Years</v>
      </c>
      <c r="G29" s="26"/>
      <c r="H29" s="26"/>
      <c r="I29" s="26"/>
      <c r="J29" s="26"/>
      <c r="K29" s="26"/>
    </row>
    <row r="30" spans="1:11" s="10" customFormat="1" ht="15.75" x14ac:dyDescent="0.25">
      <c r="A30" s="26"/>
      <c r="B30" s="26" t="s">
        <v>4</v>
      </c>
      <c r="C30" s="26"/>
      <c r="D30" s="45">
        <f>SUM($C$14-D26)/D24</f>
        <v>10260</v>
      </c>
      <c r="E30" s="45">
        <f>SUM($C$14-E26)/E24</f>
        <v>8664</v>
      </c>
      <c r="F30" s="45">
        <f>SUM($C$14-F26)/F24</f>
        <v>7600</v>
      </c>
      <c r="G30" s="26"/>
      <c r="H30" s="26"/>
      <c r="I30" s="26"/>
      <c r="J30" s="26"/>
      <c r="K30" s="26"/>
    </row>
    <row r="31" spans="1:11" s="10" customFormat="1" ht="15.75" x14ac:dyDescent="0.25">
      <c r="A31" s="26"/>
      <c r="B31" s="26" t="s">
        <v>5</v>
      </c>
      <c r="C31" s="26"/>
      <c r="D31" s="46">
        <f>SUM(($C$14+D26)/2)*$B$22</f>
        <v>3762</v>
      </c>
      <c r="E31" s="46">
        <f>SUM(($C$14+E26)/2)*$B$22</f>
        <v>3591</v>
      </c>
      <c r="F31" s="46">
        <f>SUM(($C$14+F26)/2)*$B$22</f>
        <v>3420</v>
      </c>
      <c r="G31" s="26"/>
      <c r="H31" s="26"/>
      <c r="I31" s="26"/>
      <c r="J31" s="26"/>
      <c r="K31" s="26"/>
    </row>
    <row r="32" spans="1:11" s="10" customFormat="1" ht="15.75" x14ac:dyDescent="0.25">
      <c r="A32" s="26"/>
      <c r="B32" s="26" t="s">
        <v>35</v>
      </c>
      <c r="C32" s="26"/>
      <c r="D32" s="45">
        <f>$C$14*$C$22</f>
        <v>570</v>
      </c>
      <c r="E32" s="45">
        <f>$C$14*$C$22</f>
        <v>570</v>
      </c>
      <c r="F32" s="45">
        <f>$C$14*$C$22</f>
        <v>570</v>
      </c>
      <c r="G32" s="26"/>
      <c r="H32" s="26"/>
      <c r="I32" s="26"/>
      <c r="J32" s="26"/>
      <c r="K32" s="26"/>
    </row>
    <row r="33" spans="1:11" s="10" customFormat="1" ht="15.75" x14ac:dyDescent="0.25">
      <c r="A33" s="26"/>
      <c r="B33" s="26" t="s">
        <v>6</v>
      </c>
      <c r="C33" s="26"/>
      <c r="D33" s="45">
        <f>$C$14*$D$22</f>
        <v>1140</v>
      </c>
      <c r="E33" s="45">
        <f>$C$14*$D$22</f>
        <v>1140</v>
      </c>
      <c r="F33" s="45">
        <f>$C$14*$D$22</f>
        <v>1140</v>
      </c>
      <c r="G33" s="26"/>
      <c r="H33" s="26"/>
      <c r="I33" s="26"/>
      <c r="J33" s="26"/>
      <c r="K33" s="26"/>
    </row>
    <row r="34" spans="1:11" s="10" customFormat="1" ht="15.75" x14ac:dyDescent="0.25">
      <c r="A34" s="26"/>
      <c r="B34" s="26" t="s">
        <v>7</v>
      </c>
      <c r="C34" s="26"/>
      <c r="D34" s="45">
        <f>$C$14*$E$22</f>
        <v>1140</v>
      </c>
      <c r="E34" s="45">
        <f>$C$14*$E$22</f>
        <v>1140</v>
      </c>
      <c r="F34" s="45">
        <f>$C$14*$E$22</f>
        <v>1140</v>
      </c>
      <c r="G34" s="26"/>
      <c r="H34" s="26"/>
      <c r="I34" s="26"/>
      <c r="J34" s="26"/>
      <c r="K34" s="26"/>
    </row>
    <row r="35" spans="1:11" s="10" customFormat="1" ht="15.75" customHeight="1" thickBot="1" x14ac:dyDescent="0.3">
      <c r="A35" s="26"/>
      <c r="B35" s="26" t="s">
        <v>8</v>
      </c>
      <c r="C35" s="26"/>
      <c r="D35" s="54">
        <f>$F$22</f>
        <v>0</v>
      </c>
      <c r="E35" s="54">
        <f>$F$22</f>
        <v>0</v>
      </c>
      <c r="F35" s="54">
        <f>$F$22</f>
        <v>0</v>
      </c>
      <c r="G35" s="26"/>
      <c r="H35" s="26"/>
      <c r="I35" s="26"/>
      <c r="J35" s="26"/>
      <c r="K35" s="26"/>
    </row>
    <row r="36" spans="1:11" s="10" customFormat="1" ht="15.75" x14ac:dyDescent="0.25">
      <c r="A36" s="90" t="s">
        <v>25</v>
      </c>
      <c r="B36" s="90"/>
      <c r="C36" s="90"/>
      <c r="D36" s="47">
        <f>SUM(D30:D35)</f>
        <v>16872</v>
      </c>
      <c r="E36" s="47">
        <f>SUM(E30:E35)</f>
        <v>15105</v>
      </c>
      <c r="F36" s="47">
        <f>SUM(F30:F35)</f>
        <v>13870</v>
      </c>
      <c r="G36" s="26"/>
      <c r="H36" s="26"/>
      <c r="I36" s="26"/>
      <c r="J36" s="26"/>
      <c r="K36" s="26"/>
    </row>
    <row r="37" spans="1:11" s="10" customFormat="1" ht="15.75" x14ac:dyDescent="0.25">
      <c r="A37" s="90" t="s">
        <v>40</v>
      </c>
      <c r="B37" s="90"/>
      <c r="C37" s="90"/>
      <c r="D37" s="48">
        <f>SUM(D36/$E$10)</f>
        <v>15.817499999999999</v>
      </c>
      <c r="E37" s="48">
        <f>SUM(E36/$E$10)</f>
        <v>14.160937499999999</v>
      </c>
      <c r="F37" s="48">
        <f>SUM(F36/$E$10)</f>
        <v>13.003124999999999</v>
      </c>
      <c r="G37" s="26"/>
      <c r="H37" s="26"/>
      <c r="I37" s="26"/>
      <c r="J37" s="26"/>
      <c r="K37" s="26"/>
    </row>
    <row r="38" spans="1:11" s="10" customFormat="1" ht="7.5" customHeight="1" x14ac:dyDescent="0.25">
      <c r="A38" s="27"/>
      <c r="B38" s="26"/>
      <c r="C38" s="26"/>
      <c r="D38" s="48"/>
      <c r="E38" s="48"/>
      <c r="F38" s="48"/>
      <c r="G38" s="26"/>
      <c r="H38" s="26"/>
      <c r="I38" s="26"/>
      <c r="J38" s="26"/>
      <c r="K38" s="26"/>
    </row>
    <row r="39" spans="1:11" s="10" customFormat="1" ht="15.75" x14ac:dyDescent="0.25">
      <c r="A39" s="90" t="s">
        <v>39</v>
      </c>
      <c r="B39" s="90"/>
      <c r="C39" s="90"/>
      <c r="D39" s="49">
        <f>SUM(D37/$D$16)</f>
        <v>225.96428571428567</v>
      </c>
      <c r="E39" s="49">
        <f>SUM(E37/$D$16)</f>
        <v>202.29910714285711</v>
      </c>
      <c r="F39" s="49">
        <f>SUM(F37/$D$16)</f>
        <v>185.75892857142853</v>
      </c>
      <c r="G39" s="26"/>
      <c r="H39" s="26"/>
      <c r="I39" s="26"/>
      <c r="J39" s="26"/>
      <c r="K39" s="26"/>
    </row>
    <row r="40" spans="1:11" s="10" customFormat="1" ht="15" customHeight="1" x14ac:dyDescent="0.25">
      <c r="A40" s="27"/>
      <c r="B40" s="26"/>
      <c r="C40" s="26"/>
      <c r="D40" s="48"/>
      <c r="E40" s="48"/>
      <c r="F40" s="48"/>
      <c r="G40" s="26"/>
      <c r="H40" s="26"/>
      <c r="I40" s="26"/>
      <c r="J40" s="26"/>
      <c r="K40" s="26"/>
    </row>
    <row r="41" spans="1:11" s="10" customFormat="1" ht="16.5" thickBot="1" x14ac:dyDescent="0.3">
      <c r="A41" s="27"/>
      <c r="B41" s="26"/>
      <c r="C41" s="26"/>
      <c r="D41" s="89" t="s">
        <v>29</v>
      </c>
      <c r="E41" s="89"/>
      <c r="F41" s="89"/>
      <c r="G41" s="26"/>
      <c r="H41" s="26"/>
      <c r="I41" s="26"/>
      <c r="J41" s="26"/>
      <c r="K41" s="26"/>
    </row>
    <row r="42" spans="1:11" s="10" customFormat="1" ht="16.5" thickBot="1" x14ac:dyDescent="0.3">
      <c r="A42" s="90" t="s">
        <v>26</v>
      </c>
      <c r="B42" s="90"/>
      <c r="C42" s="90"/>
      <c r="D42" s="58">
        <f>D19</f>
        <v>100</v>
      </c>
      <c r="E42" s="58">
        <f>E19</f>
        <v>120</v>
      </c>
      <c r="F42" s="58">
        <f>F19</f>
        <v>200</v>
      </c>
      <c r="G42" s="26"/>
      <c r="H42" s="26"/>
      <c r="I42" s="26"/>
      <c r="J42" s="26"/>
      <c r="K42" s="26"/>
    </row>
    <row r="43" spans="1:11" s="10" customFormat="1" ht="15.75" x14ac:dyDescent="0.25">
      <c r="A43" s="90" t="str">
        <f>"$ Value loss per ton @ "&amp;D16*100&amp;" % loss/year"</f>
        <v>$ Value loss per ton @ 7 % loss/year</v>
      </c>
      <c r="B43" s="90"/>
      <c r="C43" s="90"/>
      <c r="D43" s="48">
        <f>SUM(D19*$D$16)</f>
        <v>7.0000000000000009</v>
      </c>
      <c r="E43" s="48">
        <f>SUM(E19*$D$16)</f>
        <v>8.4</v>
      </c>
      <c r="F43" s="48">
        <f>SUM(F19*$D$16)</f>
        <v>14.000000000000002</v>
      </c>
      <c r="G43" s="26"/>
      <c r="H43" s="26"/>
      <c r="I43" s="26"/>
      <c r="J43" s="26"/>
      <c r="K43" s="26"/>
    </row>
    <row r="44" spans="1:11" s="10" customFormat="1" ht="15.75" x14ac:dyDescent="0.25">
      <c r="A44" s="91" t="s">
        <v>31</v>
      </c>
      <c r="B44" s="91"/>
      <c r="C44" s="91"/>
      <c r="D44" s="48"/>
      <c r="E44" s="48"/>
      <c r="F44" s="48"/>
      <c r="G44" s="26"/>
      <c r="H44" s="26"/>
      <c r="I44" s="26"/>
      <c r="J44" s="26"/>
      <c r="K44" s="26"/>
    </row>
    <row r="45" spans="1:11" s="10" customFormat="1" ht="15.75" x14ac:dyDescent="0.25">
      <c r="A45" s="27"/>
      <c r="B45" s="26" t="str">
        <f>"Profit or Loss $ per ton ("&amp;D24&amp;" year shed life)"</f>
        <v>Profit or Loss $ per ton (20 year shed life)</v>
      </c>
      <c r="C45" s="26"/>
      <c r="D45" s="49">
        <f>SUM($D$43-D37)</f>
        <v>-8.817499999999999</v>
      </c>
      <c r="E45" s="49">
        <f>SUM($E$43-D37)</f>
        <v>-7.4174999999999986</v>
      </c>
      <c r="F45" s="49">
        <f>SUM($F$43-D37)</f>
        <v>-1.8174999999999972</v>
      </c>
      <c r="G45" s="26"/>
      <c r="H45" s="26"/>
      <c r="I45" s="26"/>
      <c r="J45" s="26"/>
      <c r="K45" s="26"/>
    </row>
    <row r="46" spans="1:11" s="10" customFormat="1" ht="15.75" x14ac:dyDescent="0.25">
      <c r="A46" s="27"/>
      <c r="B46" s="26" t="str">
        <f>"Profit or Loss $ per ton ("&amp;E24&amp;" year shed life)"</f>
        <v>Profit or Loss $ per ton (25 year shed life)</v>
      </c>
      <c r="C46" s="26"/>
      <c r="D46" s="49">
        <f>SUM($D$43-E37)</f>
        <v>-7.1609374999999984</v>
      </c>
      <c r="E46" s="49">
        <f>SUM($E$43-E37)</f>
        <v>-5.7609374999999989</v>
      </c>
      <c r="F46" s="49">
        <f>SUM($F$43-E37)</f>
        <v>-0.16093749999999751</v>
      </c>
      <c r="G46" s="26"/>
      <c r="H46" s="26"/>
      <c r="I46" s="26"/>
      <c r="J46" s="26"/>
      <c r="K46" s="26"/>
    </row>
    <row r="47" spans="1:11" s="10" customFormat="1" ht="15.75" x14ac:dyDescent="0.25">
      <c r="A47" s="27"/>
      <c r="B47" s="26" t="str">
        <f>"Profit or Loss $ per ton ("&amp;F24&amp;" year shed life)"</f>
        <v>Profit or Loss $ per ton (30 year shed life)</v>
      </c>
      <c r="C47" s="26"/>
      <c r="D47" s="49">
        <f>SUM($D$43-F37)</f>
        <v>-6.003124999999998</v>
      </c>
      <c r="E47" s="49">
        <f>SUM($E$43-F37)</f>
        <v>-4.6031249999999986</v>
      </c>
      <c r="F47" s="49">
        <f>SUM($F$43-F37)</f>
        <v>0.99687500000000284</v>
      </c>
      <c r="G47" s="26"/>
      <c r="H47" s="26"/>
      <c r="I47" s="26"/>
      <c r="J47" s="26"/>
      <c r="K47" s="26"/>
    </row>
    <row r="48" spans="1:11" s="10" customFormat="1" ht="7.5" customHeight="1" x14ac:dyDescent="0.25">
      <c r="A48" s="27"/>
      <c r="B48" s="26"/>
      <c r="C48" s="26"/>
      <c r="D48" s="49"/>
      <c r="E48" s="49"/>
      <c r="F48" s="49"/>
      <c r="G48" s="26"/>
      <c r="H48" s="26"/>
      <c r="I48" s="26"/>
      <c r="J48" s="26"/>
      <c r="K48" s="26"/>
    </row>
    <row r="49" spans="1:17" s="10" customFormat="1" ht="15.75" x14ac:dyDescent="0.25">
      <c r="A49" s="90" t="s">
        <v>58</v>
      </c>
      <c r="B49" s="90"/>
      <c r="C49" s="90"/>
      <c r="D49" s="26"/>
      <c r="E49" s="26"/>
      <c r="F49" s="26"/>
      <c r="G49" s="26"/>
      <c r="H49" s="26"/>
      <c r="I49" s="26"/>
      <c r="J49" s="26"/>
      <c r="K49" s="26"/>
    </row>
    <row r="50" spans="1:17" s="10" customFormat="1" ht="15.75" x14ac:dyDescent="0.25">
      <c r="A50" s="27"/>
      <c r="B50" s="26" t="str">
        <f>"% Loss per ton ("&amp;D24&amp;" year shed life)"</f>
        <v>% Loss per ton (20 year shed life)</v>
      </c>
      <c r="C50" s="26"/>
      <c r="D50" s="56">
        <f>SUM((D37*100)/D42)/100</f>
        <v>0.15817500000000001</v>
      </c>
      <c r="E50" s="56">
        <f>SUM((D37*100)/E42)/100</f>
        <v>0.1318125</v>
      </c>
      <c r="F50" s="56">
        <f>SUM((D37*100)/F42)/100</f>
        <v>7.9087500000000005E-2</v>
      </c>
      <c r="G50" s="26"/>
      <c r="H50" s="26"/>
      <c r="I50" s="26"/>
      <c r="J50" s="26"/>
      <c r="K50" s="26"/>
    </row>
    <row r="51" spans="1:17" s="10" customFormat="1" ht="15.75" x14ac:dyDescent="0.25">
      <c r="A51" s="27"/>
      <c r="B51" s="26" t="str">
        <f>"% Loss per ton ("&amp;E24&amp;" year shed life)"</f>
        <v>% Loss per ton (25 year shed life)</v>
      </c>
      <c r="C51" s="26"/>
      <c r="D51" s="56">
        <f>SUM((E37*100)/D42)/100</f>
        <v>0.14160937499999998</v>
      </c>
      <c r="E51" s="56">
        <f>SUM((E37*100)/E42)/100</f>
        <v>0.1180078125</v>
      </c>
      <c r="F51" s="56">
        <f>SUM((E37*100)/F42)/100</f>
        <v>7.0804687499999991E-2</v>
      </c>
      <c r="G51" s="26"/>
      <c r="H51" s="26"/>
      <c r="I51" s="26"/>
      <c r="J51" s="26"/>
      <c r="K51" s="26"/>
    </row>
    <row r="52" spans="1:17" s="10" customFormat="1" ht="15.75" x14ac:dyDescent="0.25">
      <c r="A52" s="27"/>
      <c r="B52" s="26" t="str">
        <f>"% Loss per ton ("&amp;F24&amp;" year shed life)"</f>
        <v>% Loss per ton (30 year shed life)</v>
      </c>
      <c r="C52" s="26"/>
      <c r="D52" s="56">
        <f>SUM((F37*100)/D42)/100</f>
        <v>0.13003125000000001</v>
      </c>
      <c r="E52" s="56">
        <f>SUM((F37*100)/E42)/100</f>
        <v>0.10835937499999999</v>
      </c>
      <c r="F52" s="56">
        <f>SUM((F37*100)/F42)/100</f>
        <v>6.5015625000000007E-2</v>
      </c>
      <c r="G52" s="26"/>
      <c r="H52" s="26"/>
      <c r="I52" s="26"/>
      <c r="J52" s="26"/>
      <c r="K52" s="26"/>
    </row>
    <row r="53" spans="1:17" s="10" customFormat="1" ht="15.75" x14ac:dyDescent="0.25">
      <c r="A53" s="26"/>
      <c r="B53" s="26"/>
      <c r="C53" s="26"/>
      <c r="D53" s="26"/>
      <c r="E53" s="26"/>
      <c r="F53" s="35"/>
      <c r="G53" s="26"/>
      <c r="H53" s="26"/>
      <c r="I53" s="26"/>
      <c r="J53" s="26"/>
      <c r="K53" s="26"/>
    </row>
    <row r="54" spans="1:17" s="13" customFormat="1" ht="15" customHeight="1" x14ac:dyDescent="0.25">
      <c r="A54" s="86" t="s">
        <v>63</v>
      </c>
      <c r="B54" s="87"/>
      <c r="C54" s="87"/>
      <c r="D54" s="87"/>
      <c r="E54" s="87"/>
      <c r="F54" s="87"/>
      <c r="G54" s="87"/>
      <c r="H54" s="87"/>
      <c r="I54" s="12"/>
      <c r="J54" s="12"/>
      <c r="K54" s="12"/>
    </row>
    <row r="55" spans="1:17" s="13" customFormat="1" ht="15" customHeight="1" x14ac:dyDescent="0.25">
      <c r="A55" s="87"/>
      <c r="B55" s="87"/>
      <c r="C55" s="87"/>
      <c r="D55" s="87"/>
      <c r="E55" s="87"/>
      <c r="F55" s="87"/>
      <c r="G55" s="87"/>
      <c r="H55" s="87"/>
      <c r="I55" s="12"/>
      <c r="J55" s="12"/>
      <c r="K55" s="12"/>
    </row>
    <row r="56" spans="1:17" s="13" customFormat="1" ht="15" customHeight="1" x14ac:dyDescent="0.25">
      <c r="A56" s="72"/>
      <c r="B56" s="72"/>
      <c r="C56" s="72"/>
      <c r="D56" s="72"/>
      <c r="E56" s="72"/>
      <c r="F56" s="72"/>
      <c r="G56" s="72"/>
      <c r="H56" s="72"/>
      <c r="I56" s="12"/>
      <c r="J56" s="12"/>
      <c r="K56" s="12"/>
    </row>
    <row r="57" spans="1:17" s="75" customFormat="1" ht="18" customHeight="1" x14ac:dyDescent="0.2">
      <c r="A57" s="14"/>
      <c r="B57" s="14"/>
      <c r="C57" s="14"/>
      <c r="D57" s="14"/>
      <c r="E57" s="16"/>
      <c r="F57" s="74"/>
      <c r="G57" s="74"/>
      <c r="H57" s="82" t="s">
        <v>62</v>
      </c>
      <c r="I57" s="76"/>
      <c r="J57" s="16"/>
      <c r="K57" s="83"/>
      <c r="L57" s="84"/>
      <c r="O57" s="77"/>
      <c r="P57" s="78"/>
      <c r="Q57" s="78"/>
    </row>
    <row r="58" spans="1:17" s="75" customFormat="1" ht="21" customHeight="1" x14ac:dyDescent="0.2">
      <c r="A58" s="79"/>
      <c r="B58" s="73"/>
      <c r="C58" s="80"/>
      <c r="D58" s="80"/>
      <c r="E58" s="80"/>
      <c r="F58" s="81"/>
      <c r="O58" s="77"/>
      <c r="P58" s="78"/>
      <c r="Q58" s="78"/>
    </row>
  </sheetData>
  <sheetProtection password="C6A6" sheet="1"/>
  <mergeCells count="12">
    <mergeCell ref="A54:H55"/>
    <mergeCell ref="A6:H6"/>
    <mergeCell ref="D28:F28"/>
    <mergeCell ref="D41:F41"/>
    <mergeCell ref="A39:C39"/>
    <mergeCell ref="A37:C37"/>
    <mergeCell ref="A36:C36"/>
    <mergeCell ref="A29:C29"/>
    <mergeCell ref="A42:C42"/>
    <mergeCell ref="A43:C43"/>
    <mergeCell ref="A44:C44"/>
    <mergeCell ref="A49:C49"/>
  </mergeCells>
  <phoneticPr fontId="0" type="noConversion"/>
  <pageMargins left="0.74803149606299213" right="0.74803149606299213" top="0.98425196850393704" bottom="0.98425196850393704" header="0.51181102362204722" footer="0.51181102362204722"/>
  <pageSetup scale="68" orientation="portrait" r:id="rId1"/>
  <headerFooter scaleWithDoc="0"/>
  <colBreaks count="1" manualBreakCount="1"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selection activeCell="C8" sqref="C8"/>
    </sheetView>
  </sheetViews>
  <sheetFormatPr defaultRowHeight="15" x14ac:dyDescent="0.2"/>
  <cols>
    <col min="1" max="1" width="6.140625" style="36" customWidth="1"/>
    <col min="2" max="2" width="26.7109375" style="36" customWidth="1"/>
    <col min="3" max="6" width="15.42578125" style="36" customWidth="1"/>
    <col min="7" max="11" width="9.140625" style="36"/>
    <col min="12" max="16384" width="9.140625" style="1"/>
  </cols>
  <sheetData>
    <row r="1" spans="1:11" s="4" customFormat="1" ht="27" customHeight="1" x14ac:dyDescent="0.2">
      <c r="A1" s="2"/>
      <c r="B1" s="2"/>
      <c r="C1" s="3"/>
      <c r="D1" s="3"/>
      <c r="E1" s="3"/>
      <c r="F1" s="3"/>
    </row>
    <row r="2" spans="1:11" s="4" customFormat="1" ht="27" x14ac:dyDescent="0.35">
      <c r="A2" s="5" t="s">
        <v>11</v>
      </c>
      <c r="B2" s="2"/>
      <c r="C2" s="3"/>
      <c r="D2" s="3"/>
      <c r="E2" s="3"/>
      <c r="F2" s="3"/>
    </row>
    <row r="3" spans="1:11" s="4" customFormat="1" ht="17.25" x14ac:dyDescent="0.25">
      <c r="A3" s="6" t="s">
        <v>43</v>
      </c>
      <c r="B3" s="2"/>
      <c r="C3" s="3"/>
      <c r="D3" s="3"/>
      <c r="G3" s="7" t="s">
        <v>12</v>
      </c>
      <c r="H3" s="8">
        <f ca="1">TODAY()</f>
        <v>44841</v>
      </c>
    </row>
    <row r="4" spans="1:11" s="4" customFormat="1" ht="7.5" customHeight="1" x14ac:dyDescent="0.25">
      <c r="A4" s="9"/>
      <c r="B4" s="2"/>
      <c r="C4" s="3"/>
      <c r="D4" s="3"/>
      <c r="G4" s="7"/>
      <c r="H4" s="8"/>
    </row>
    <row r="5" spans="1:11" s="10" customFormat="1" x14ac:dyDescent="0.2">
      <c r="A5" s="11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0" customFormat="1" ht="15.75" x14ac:dyDescent="0.25">
      <c r="A6" s="88" t="s">
        <v>59</v>
      </c>
      <c r="B6" s="88"/>
      <c r="C6" s="88"/>
      <c r="D6" s="88"/>
      <c r="E6" s="88"/>
      <c r="F6" s="88"/>
      <c r="G6" s="88"/>
      <c r="H6" s="88"/>
      <c r="I6" s="26"/>
      <c r="J6" s="26"/>
      <c r="K6" s="26"/>
    </row>
    <row r="7" spans="1:11" s="10" customFormat="1" ht="15.75" x14ac:dyDescent="0.25">
      <c r="A7" s="27" t="s">
        <v>9</v>
      </c>
      <c r="B7" s="26"/>
      <c r="C7" s="26"/>
      <c r="D7" s="26"/>
      <c r="E7" s="27"/>
      <c r="F7" s="26"/>
      <c r="G7" s="26"/>
      <c r="H7" s="26"/>
      <c r="I7" s="26"/>
      <c r="J7" s="26"/>
      <c r="K7" s="26"/>
    </row>
    <row r="8" spans="1:11" s="10" customFormat="1" ht="15.75" x14ac:dyDescent="0.25">
      <c r="A8" s="26"/>
      <c r="B8" s="28" t="s">
        <v>44</v>
      </c>
      <c r="C8" s="37">
        <v>25</v>
      </c>
      <c r="D8" s="40" t="s">
        <v>16</v>
      </c>
      <c r="E8" s="26"/>
      <c r="F8" s="29"/>
      <c r="G8" s="26"/>
      <c r="H8" s="26"/>
      <c r="I8" s="26"/>
      <c r="J8" s="26"/>
      <c r="K8" s="26"/>
    </row>
    <row r="9" spans="1:11" s="10" customFormat="1" ht="15.75" x14ac:dyDescent="0.25">
      <c r="A9" s="26"/>
      <c r="B9" s="28" t="s">
        <v>45</v>
      </c>
      <c r="C9" s="37">
        <v>48</v>
      </c>
      <c r="D9" s="40" t="s">
        <v>16</v>
      </c>
      <c r="E9" s="26"/>
      <c r="F9" s="29"/>
      <c r="G9" s="26"/>
      <c r="H9" s="26"/>
      <c r="I9" s="26"/>
      <c r="J9" s="26"/>
      <c r="K9" s="26"/>
    </row>
    <row r="10" spans="1:11" s="10" customFormat="1" ht="15.75" x14ac:dyDescent="0.25">
      <c r="A10" s="26"/>
      <c r="B10" s="28" t="s">
        <v>47</v>
      </c>
      <c r="C10" s="37">
        <v>3</v>
      </c>
      <c r="D10" s="40" t="s">
        <v>16</v>
      </c>
      <c r="E10" s="26"/>
      <c r="F10" s="29"/>
      <c r="G10" s="26"/>
      <c r="H10" s="26"/>
      <c r="I10" s="26"/>
      <c r="J10" s="26"/>
      <c r="K10" s="26"/>
    </row>
    <row r="11" spans="1:11" s="10" customFormat="1" ht="15.75" x14ac:dyDescent="0.25">
      <c r="A11" s="26"/>
      <c r="B11" s="28" t="s">
        <v>46</v>
      </c>
      <c r="C11" s="37">
        <v>12</v>
      </c>
      <c r="D11" s="40" t="s">
        <v>28</v>
      </c>
      <c r="E11" s="50">
        <f>SUM((C8*(C9-C10-C10))*C11)</f>
        <v>12600</v>
      </c>
      <c r="F11" s="28" t="s">
        <v>48</v>
      </c>
      <c r="G11" s="26"/>
      <c r="H11" s="26"/>
      <c r="I11" s="26"/>
      <c r="J11" s="26"/>
      <c r="K11" s="26"/>
    </row>
    <row r="12" spans="1:11" s="10" customFormat="1" ht="15.75" x14ac:dyDescent="0.25">
      <c r="A12" s="26"/>
      <c r="B12" s="28"/>
      <c r="C12" s="62"/>
      <c r="D12" s="40" t="s">
        <v>49</v>
      </c>
      <c r="E12" s="50">
        <f>SUM(E11/300)</f>
        <v>42</v>
      </c>
      <c r="F12" s="28" t="s">
        <v>50</v>
      </c>
      <c r="G12" s="26"/>
      <c r="H12" s="26"/>
      <c r="I12" s="26"/>
      <c r="J12" s="26"/>
      <c r="K12" s="26"/>
    </row>
    <row r="13" spans="1:11" s="10" customFormat="1" ht="7.5" customHeight="1" x14ac:dyDescent="0.25">
      <c r="A13" s="26"/>
      <c r="B13" s="28"/>
      <c r="C13" s="62"/>
      <c r="D13" s="40"/>
      <c r="E13" s="26"/>
      <c r="F13" s="29"/>
      <c r="G13" s="26"/>
      <c r="H13" s="26"/>
      <c r="I13" s="26"/>
      <c r="J13" s="26"/>
      <c r="K13" s="26"/>
    </row>
    <row r="14" spans="1:11" s="10" customFormat="1" ht="15.75" x14ac:dyDescent="0.25">
      <c r="A14" s="26"/>
      <c r="B14" s="26" t="s">
        <v>51</v>
      </c>
      <c r="C14" s="38">
        <v>150</v>
      </c>
      <c r="D14" s="30"/>
      <c r="E14" s="26"/>
      <c r="F14" s="26"/>
      <c r="G14" s="26"/>
      <c r="H14" s="26"/>
      <c r="I14" s="26"/>
      <c r="J14" s="26"/>
      <c r="K14" s="26"/>
    </row>
    <row r="15" spans="1:11" s="10" customFormat="1" ht="15.75" x14ac:dyDescent="0.25">
      <c r="A15" s="26"/>
      <c r="B15" s="26" t="s">
        <v>52</v>
      </c>
      <c r="C15" s="38">
        <v>25</v>
      </c>
      <c r="D15" s="29"/>
      <c r="E15" s="26"/>
      <c r="F15" s="26"/>
      <c r="G15" s="26"/>
      <c r="H15" s="26"/>
      <c r="I15" s="26"/>
      <c r="J15" s="26"/>
      <c r="K15" s="26"/>
    </row>
    <row r="16" spans="1:11" s="10" customFormat="1" ht="15.75" x14ac:dyDescent="0.25">
      <c r="A16" s="26"/>
      <c r="B16" s="29" t="s">
        <v>37</v>
      </c>
      <c r="C16" s="31">
        <f>SUM(C14+C15)</f>
        <v>175</v>
      </c>
      <c r="D16" s="40" t="s">
        <v>38</v>
      </c>
      <c r="E16" s="59">
        <f>SUM(C16/E12)</f>
        <v>4.166666666666667</v>
      </c>
      <c r="F16" s="26" t="s">
        <v>20</v>
      </c>
      <c r="G16" s="26"/>
      <c r="H16" s="26"/>
      <c r="I16" s="26"/>
      <c r="J16" s="26"/>
      <c r="K16" s="26"/>
    </row>
    <row r="17" spans="1:11" s="43" customFormat="1" ht="7.5" customHeight="1" x14ac:dyDescent="0.25">
      <c r="A17" s="40"/>
      <c r="B17" s="40"/>
      <c r="C17" s="63"/>
      <c r="D17" s="41"/>
      <c r="E17" s="42"/>
      <c r="F17" s="40"/>
      <c r="G17" s="40"/>
      <c r="H17" s="40"/>
      <c r="I17" s="40"/>
      <c r="J17" s="40"/>
      <c r="K17" s="40"/>
    </row>
    <row r="18" spans="1:11" s="10" customFormat="1" ht="15.75" x14ac:dyDescent="0.25">
      <c r="A18" s="26"/>
      <c r="B18" s="26" t="s">
        <v>27</v>
      </c>
      <c r="C18" s="26"/>
      <c r="D18" s="39">
        <v>7.0000000000000007E-2</v>
      </c>
      <c r="E18" s="26" t="s">
        <v>41</v>
      </c>
      <c r="F18" s="26"/>
      <c r="G18" s="26"/>
      <c r="H18" s="26"/>
      <c r="I18" s="26"/>
      <c r="J18" s="26"/>
      <c r="K18" s="26"/>
    </row>
    <row r="19" spans="1:11" s="10" customFormat="1" ht="7.5" customHeight="1" x14ac:dyDescent="0.25">
      <c r="A19" s="26"/>
      <c r="B19" s="26"/>
      <c r="C19" s="26"/>
      <c r="D19" s="26"/>
      <c r="E19" s="64"/>
      <c r="F19" s="26"/>
      <c r="G19" s="26"/>
      <c r="H19" s="26"/>
      <c r="I19" s="26"/>
      <c r="J19" s="26"/>
      <c r="K19" s="26"/>
    </row>
    <row r="20" spans="1:11" s="10" customFormat="1" ht="15.75" x14ac:dyDescent="0.25">
      <c r="A20" s="26"/>
      <c r="B20" s="26"/>
      <c r="C20" s="26"/>
      <c r="D20" s="55" t="s">
        <v>32</v>
      </c>
      <c r="E20" s="55" t="s">
        <v>33</v>
      </c>
      <c r="F20" s="55" t="s">
        <v>34</v>
      </c>
      <c r="G20" s="26"/>
      <c r="H20" s="26"/>
      <c r="I20" s="26"/>
      <c r="J20" s="26"/>
      <c r="K20" s="26"/>
    </row>
    <row r="21" spans="1:11" s="10" customFormat="1" ht="15.75" x14ac:dyDescent="0.25">
      <c r="A21" s="26"/>
      <c r="B21" s="26" t="s">
        <v>26</v>
      </c>
      <c r="C21" s="26"/>
      <c r="D21" s="38">
        <v>70</v>
      </c>
      <c r="E21" s="38">
        <v>110</v>
      </c>
      <c r="F21" s="38">
        <v>200</v>
      </c>
      <c r="G21" s="26"/>
      <c r="H21" s="26"/>
      <c r="I21" s="26"/>
      <c r="J21" s="26"/>
      <c r="K21" s="26"/>
    </row>
    <row r="22" spans="1:11" s="43" customFormat="1" ht="7.5" customHeight="1" x14ac:dyDescent="0.25">
      <c r="A22" s="40"/>
      <c r="B22" s="40"/>
      <c r="C22" s="63"/>
      <c r="D22" s="41"/>
      <c r="E22" s="42"/>
      <c r="F22" s="40"/>
      <c r="G22" s="40"/>
      <c r="H22" s="40"/>
      <c r="I22" s="40"/>
      <c r="J22" s="40"/>
      <c r="K22" s="40"/>
    </row>
    <row r="23" spans="1:11" s="10" customFormat="1" ht="30" x14ac:dyDescent="0.2">
      <c r="A23" s="26"/>
      <c r="B23" s="70" t="s">
        <v>0</v>
      </c>
      <c r="C23" s="70" t="s">
        <v>2</v>
      </c>
      <c r="D23" s="70" t="s">
        <v>53</v>
      </c>
      <c r="E23" s="70" t="s">
        <v>54</v>
      </c>
      <c r="F23" s="70" t="s">
        <v>8</v>
      </c>
      <c r="G23" s="26"/>
      <c r="H23" s="26"/>
      <c r="I23" s="26"/>
      <c r="J23" s="26"/>
      <c r="K23" s="26"/>
    </row>
    <row r="24" spans="1:11" s="10" customFormat="1" ht="15.75" x14ac:dyDescent="0.25">
      <c r="A24" s="26"/>
      <c r="B24" s="68">
        <v>0.03</v>
      </c>
      <c r="C24" s="68">
        <v>0.05</v>
      </c>
      <c r="D24" s="71">
        <v>2</v>
      </c>
      <c r="E24" s="69">
        <v>24</v>
      </c>
      <c r="F24" s="69">
        <v>0</v>
      </c>
      <c r="G24" s="26"/>
      <c r="H24" s="26"/>
      <c r="I24" s="26"/>
      <c r="K24" s="26"/>
    </row>
    <row r="25" spans="1:11" s="10" customFormat="1" ht="15.75" x14ac:dyDescent="0.25">
      <c r="A25" s="26"/>
      <c r="B25" s="26"/>
      <c r="C25" s="26"/>
      <c r="D25" s="63"/>
      <c r="E25" s="26"/>
      <c r="F25" s="26"/>
      <c r="G25" s="26"/>
      <c r="H25" s="26"/>
      <c r="I25" s="26"/>
      <c r="J25" s="26"/>
      <c r="K25" s="26"/>
    </row>
    <row r="26" spans="1:11" s="10" customFormat="1" ht="15.75" x14ac:dyDescent="0.25">
      <c r="A26" s="26"/>
      <c r="B26" s="26" t="s">
        <v>55</v>
      </c>
      <c r="C26" s="26"/>
      <c r="D26" s="51">
        <v>1</v>
      </c>
      <c r="E26" s="51">
        <v>3</v>
      </c>
      <c r="F26" s="66"/>
      <c r="G26" s="26"/>
      <c r="H26" s="26"/>
      <c r="I26" s="26"/>
      <c r="J26" s="26"/>
      <c r="K26" s="26"/>
    </row>
    <row r="27" spans="1:11" s="10" customFormat="1" ht="15.75" x14ac:dyDescent="0.25">
      <c r="A27" s="26"/>
      <c r="B27" s="26" t="s">
        <v>23</v>
      </c>
      <c r="C27" s="26"/>
      <c r="D27" s="52">
        <v>0</v>
      </c>
      <c r="E27" s="52">
        <v>0</v>
      </c>
      <c r="F27" s="67"/>
      <c r="G27" s="26"/>
      <c r="H27" s="26"/>
      <c r="I27" s="26"/>
      <c r="J27" s="26"/>
      <c r="K27" s="26"/>
    </row>
    <row r="28" spans="1:11" s="10" customFormat="1" ht="15.75" x14ac:dyDescent="0.25">
      <c r="A28" s="26"/>
      <c r="B28" s="26" t="s">
        <v>22</v>
      </c>
      <c r="C28" s="65"/>
      <c r="D28" s="32">
        <f>$C$16*D27</f>
        <v>0</v>
      </c>
      <c r="E28" s="32">
        <f>$C$16*E27</f>
        <v>0</v>
      </c>
      <c r="F28" s="44"/>
      <c r="G28" s="26"/>
      <c r="H28" s="26"/>
      <c r="I28" s="26"/>
      <c r="J28" s="26"/>
      <c r="K28" s="26"/>
    </row>
    <row r="29" spans="1:11" s="10" customFormat="1" ht="15.75" x14ac:dyDescent="0.25">
      <c r="A29" s="26"/>
      <c r="B29" s="26"/>
      <c r="C29" s="65"/>
      <c r="D29" s="44"/>
      <c r="E29" s="26"/>
      <c r="F29" s="40"/>
      <c r="G29" s="26"/>
      <c r="H29" s="26"/>
      <c r="I29" s="26"/>
      <c r="J29" s="26"/>
      <c r="K29" s="26"/>
    </row>
    <row r="30" spans="1:11" s="10" customFormat="1" ht="7.5" customHeight="1" x14ac:dyDescent="0.2">
      <c r="A30" s="26"/>
      <c r="B30" s="26"/>
      <c r="C30" s="26"/>
      <c r="D30" s="26"/>
      <c r="E30" s="26"/>
      <c r="F30" s="40"/>
      <c r="G30" s="26"/>
      <c r="H30" s="26"/>
      <c r="I30" s="26"/>
      <c r="J30" s="26"/>
      <c r="K30" s="26"/>
    </row>
    <row r="31" spans="1:11" s="10" customFormat="1" ht="15.75" customHeight="1" thickBot="1" x14ac:dyDescent="0.25">
      <c r="A31" s="26"/>
      <c r="B31" s="26"/>
      <c r="C31" s="26"/>
      <c r="D31" s="89" t="s">
        <v>10</v>
      </c>
      <c r="E31" s="89"/>
      <c r="F31" s="60"/>
      <c r="G31" s="26"/>
      <c r="H31" s="26"/>
      <c r="I31" s="26"/>
      <c r="J31" s="26"/>
      <c r="K31" s="26"/>
    </row>
    <row r="32" spans="1:11" s="10" customFormat="1" ht="16.5" thickBot="1" x14ac:dyDescent="0.25">
      <c r="A32" s="91" t="s">
        <v>56</v>
      </c>
      <c r="B32" s="91"/>
      <c r="C32" s="91"/>
      <c r="D32" s="57" t="str">
        <f>D26&amp;" Years"</f>
        <v>1 Years</v>
      </c>
      <c r="E32" s="57" t="str">
        <f>E26&amp;" Years"</f>
        <v>3 Years</v>
      </c>
      <c r="F32" s="53"/>
      <c r="G32" s="26"/>
      <c r="H32" s="26"/>
      <c r="I32" s="26"/>
      <c r="J32" s="26"/>
      <c r="K32" s="26"/>
    </row>
    <row r="33" spans="1:11" s="10" customFormat="1" ht="15.75" x14ac:dyDescent="0.25">
      <c r="A33" s="26"/>
      <c r="B33" s="26" t="s">
        <v>4</v>
      </c>
      <c r="C33" s="26"/>
      <c r="D33" s="33">
        <f>SUM($C$16-D28)/D26</f>
        <v>175</v>
      </c>
      <c r="E33" s="33">
        <f>SUM($C$16-E28)/E26</f>
        <v>58.333333333333336</v>
      </c>
      <c r="F33" s="47"/>
      <c r="G33" s="26"/>
      <c r="H33" s="26"/>
      <c r="I33" s="26"/>
      <c r="J33" s="26"/>
      <c r="K33" s="26"/>
    </row>
    <row r="34" spans="1:11" s="10" customFormat="1" ht="15.75" x14ac:dyDescent="0.25">
      <c r="A34" s="26"/>
      <c r="B34" s="26" t="s">
        <v>5</v>
      </c>
      <c r="C34" s="26"/>
      <c r="D34" s="34">
        <f>SUM(($C$16+D28)/2)*$B$24</f>
        <v>2.625</v>
      </c>
      <c r="E34" s="34">
        <f>SUM(($C$16+E28)/2)*$B$24</f>
        <v>2.625</v>
      </c>
      <c r="F34" s="42"/>
      <c r="G34" s="26"/>
      <c r="H34" s="26"/>
      <c r="I34" s="26"/>
      <c r="J34" s="26"/>
      <c r="K34" s="26"/>
    </row>
    <row r="35" spans="1:11" s="10" customFormat="1" ht="15.75" x14ac:dyDescent="0.25">
      <c r="A35" s="26"/>
      <c r="B35" s="26" t="s">
        <v>35</v>
      </c>
      <c r="C35" s="26"/>
      <c r="D35" s="33">
        <f>$C$16*$C$24</f>
        <v>8.75</v>
      </c>
      <c r="E35" s="33">
        <f>$C$16*$C$24</f>
        <v>8.75</v>
      </c>
      <c r="F35" s="47"/>
      <c r="G35" s="26"/>
      <c r="H35" s="26"/>
      <c r="I35" s="26"/>
      <c r="J35" s="26"/>
      <c r="K35" s="26"/>
    </row>
    <row r="36" spans="1:11" s="10" customFormat="1" ht="15.75" x14ac:dyDescent="0.25">
      <c r="A36" s="26"/>
      <c r="B36" s="26" t="s">
        <v>57</v>
      </c>
      <c r="C36" s="26"/>
      <c r="D36" s="33">
        <f>SUM(E24*D24)</f>
        <v>48</v>
      </c>
      <c r="E36" s="33">
        <f>SUM(E24*D24)</f>
        <v>48</v>
      </c>
      <c r="F36" s="47"/>
      <c r="G36" s="26"/>
      <c r="H36" s="26"/>
      <c r="I36" s="26"/>
      <c r="J36" s="26"/>
      <c r="K36" s="26"/>
    </row>
    <row r="37" spans="1:11" s="10" customFormat="1" ht="15.75" customHeight="1" thickBot="1" x14ac:dyDescent="0.3">
      <c r="A37" s="26"/>
      <c r="B37" s="26" t="s">
        <v>8</v>
      </c>
      <c r="C37" s="26"/>
      <c r="D37" s="61">
        <f>$F$24</f>
        <v>0</v>
      </c>
      <c r="E37" s="61">
        <f>$F$24</f>
        <v>0</v>
      </c>
      <c r="F37" s="42"/>
      <c r="G37" s="26"/>
      <c r="H37" s="26"/>
      <c r="I37" s="26"/>
      <c r="J37" s="26"/>
      <c r="K37" s="26"/>
    </row>
    <row r="38" spans="1:11" s="10" customFormat="1" ht="15.75" x14ac:dyDescent="0.25">
      <c r="A38" s="90" t="s">
        <v>25</v>
      </c>
      <c r="B38" s="90"/>
      <c r="C38" s="90"/>
      <c r="D38" s="48">
        <f>SUM(D33:D37)</f>
        <v>234.375</v>
      </c>
      <c r="E38" s="48">
        <f>SUM(E33:E37)</f>
        <v>117.70833333333334</v>
      </c>
      <c r="F38" s="47"/>
      <c r="G38" s="26"/>
      <c r="H38" s="26"/>
      <c r="I38" s="26"/>
      <c r="J38" s="26"/>
      <c r="K38" s="26"/>
    </row>
    <row r="39" spans="1:11" s="10" customFormat="1" ht="15.75" x14ac:dyDescent="0.25">
      <c r="A39" s="90" t="s">
        <v>40</v>
      </c>
      <c r="B39" s="90"/>
      <c r="C39" s="90"/>
      <c r="D39" s="48">
        <f>SUM(D38/$E$12)</f>
        <v>5.5803571428571432</v>
      </c>
      <c r="E39" s="48">
        <f>SUM(E38/$E$12)</f>
        <v>2.8025793650793651</v>
      </c>
      <c r="F39" s="48"/>
      <c r="G39" s="26"/>
      <c r="H39" s="26"/>
      <c r="I39" s="26"/>
      <c r="J39" s="26"/>
      <c r="K39" s="26"/>
    </row>
    <row r="40" spans="1:11" s="10" customFormat="1" ht="7.5" customHeight="1" x14ac:dyDescent="0.25">
      <c r="A40" s="27"/>
      <c r="B40" s="26"/>
      <c r="C40" s="26"/>
      <c r="D40" s="48"/>
      <c r="E40" s="48"/>
      <c r="F40" s="48"/>
      <c r="G40" s="26"/>
      <c r="H40" s="26"/>
      <c r="I40" s="26"/>
      <c r="J40" s="26"/>
      <c r="K40" s="26"/>
    </row>
    <row r="41" spans="1:11" s="10" customFormat="1" ht="15.75" x14ac:dyDescent="0.25">
      <c r="A41" s="90" t="s">
        <v>39</v>
      </c>
      <c r="B41" s="90"/>
      <c r="C41" s="90"/>
      <c r="D41" s="49">
        <f>SUM(D39/$D$18)</f>
        <v>79.719387755102034</v>
      </c>
      <c r="E41" s="49">
        <f>SUM(E39/$D$18)</f>
        <v>40.036848072562357</v>
      </c>
      <c r="F41" s="49"/>
      <c r="G41" s="26"/>
      <c r="H41" s="26"/>
      <c r="I41" s="26"/>
      <c r="J41" s="26"/>
      <c r="K41" s="26"/>
    </row>
    <row r="42" spans="1:11" s="10" customFormat="1" ht="15" customHeight="1" x14ac:dyDescent="0.25">
      <c r="A42" s="27"/>
      <c r="B42" s="26"/>
      <c r="C42" s="26"/>
      <c r="D42" s="48"/>
      <c r="E42" s="48"/>
      <c r="F42" s="48"/>
      <c r="G42" s="26"/>
      <c r="H42" s="26"/>
      <c r="I42" s="26"/>
      <c r="J42" s="26"/>
      <c r="K42" s="26"/>
    </row>
    <row r="43" spans="1:11" s="10" customFormat="1" ht="16.5" thickBot="1" x14ac:dyDescent="0.3">
      <c r="A43" s="27"/>
      <c r="B43" s="26"/>
      <c r="C43" s="26"/>
      <c r="D43" s="89" t="s">
        <v>29</v>
      </c>
      <c r="E43" s="89"/>
      <c r="F43" s="89"/>
      <c r="G43" s="26"/>
      <c r="H43" s="26"/>
      <c r="I43" s="26"/>
      <c r="J43" s="26"/>
      <c r="K43" s="26"/>
    </row>
    <row r="44" spans="1:11" s="10" customFormat="1" ht="16.5" thickBot="1" x14ac:dyDescent="0.3">
      <c r="A44" s="27" t="s">
        <v>26</v>
      </c>
      <c r="B44" s="26"/>
      <c r="C44" s="26"/>
      <c r="D44" s="58">
        <f>D21</f>
        <v>70</v>
      </c>
      <c r="E44" s="58">
        <f>E21</f>
        <v>110</v>
      </c>
      <c r="F44" s="58">
        <f>F21</f>
        <v>200</v>
      </c>
      <c r="G44" s="26"/>
      <c r="H44" s="26"/>
      <c r="I44" s="26"/>
      <c r="J44" s="26"/>
      <c r="K44" s="26"/>
    </row>
    <row r="45" spans="1:11" s="10" customFormat="1" ht="15.75" x14ac:dyDescent="0.25">
      <c r="A45" s="90" t="str">
        <f>"$ Value loss per ton @ "&amp;D18*100&amp;" % loss/year"</f>
        <v>$ Value loss per ton @ 7 % loss/year</v>
      </c>
      <c r="B45" s="90"/>
      <c r="C45" s="90"/>
      <c r="D45" s="48">
        <f>SUM(D21*$D$18)</f>
        <v>4.9000000000000004</v>
      </c>
      <c r="E45" s="48">
        <f>SUM(E21*$D$18)</f>
        <v>7.7000000000000011</v>
      </c>
      <c r="F45" s="48">
        <f>SUM(F21*$D$18)</f>
        <v>14.000000000000002</v>
      </c>
      <c r="G45" s="26"/>
      <c r="H45" s="26"/>
      <c r="I45" s="26"/>
      <c r="J45" s="26"/>
      <c r="K45" s="26"/>
    </row>
    <row r="46" spans="1:11" s="10" customFormat="1" ht="15.75" x14ac:dyDescent="0.25">
      <c r="A46" s="91" t="s">
        <v>31</v>
      </c>
      <c r="B46" s="91"/>
      <c r="C46" s="91"/>
      <c r="D46" s="48"/>
      <c r="E46" s="48"/>
      <c r="F46" s="48"/>
      <c r="G46" s="26"/>
      <c r="H46" s="26"/>
      <c r="I46" s="26"/>
      <c r="J46" s="26"/>
      <c r="K46" s="26"/>
    </row>
    <row r="47" spans="1:11" s="10" customFormat="1" ht="15.75" x14ac:dyDescent="0.25">
      <c r="A47" s="27"/>
      <c r="B47" s="26" t="str">
        <f>"Profit or Loss $ per ton ("&amp;D26&amp;" year life)"</f>
        <v>Profit or Loss $ per ton (1 year life)</v>
      </c>
      <c r="C47" s="26"/>
      <c r="D47" s="49">
        <f>SUM($D$45-D39)</f>
        <v>-0.68035714285714288</v>
      </c>
      <c r="E47" s="49">
        <f>SUM($E$45-D39)</f>
        <v>2.1196428571428578</v>
      </c>
      <c r="F47" s="49">
        <f>SUM($F$45-D39)</f>
        <v>8.4196428571428577</v>
      </c>
      <c r="G47" s="26"/>
      <c r="H47" s="26"/>
      <c r="I47" s="26"/>
      <c r="J47" s="26"/>
      <c r="K47" s="26"/>
    </row>
    <row r="48" spans="1:11" s="10" customFormat="1" ht="15.75" x14ac:dyDescent="0.25">
      <c r="A48" s="27"/>
      <c r="B48" s="26" t="str">
        <f>"Profit or Loss $ per ton ("&amp;E26&amp;" year life)"</f>
        <v>Profit or Loss $ per ton (3 year life)</v>
      </c>
      <c r="C48" s="26"/>
      <c r="D48" s="49">
        <f>SUM($D$45-E39)</f>
        <v>2.0974206349206352</v>
      </c>
      <c r="E48" s="49">
        <f>SUM($E$45-E39)</f>
        <v>4.8974206349206355</v>
      </c>
      <c r="F48" s="49">
        <f>SUM($F$45-E39)</f>
        <v>11.197420634920636</v>
      </c>
      <c r="G48" s="26"/>
      <c r="H48" s="26"/>
      <c r="I48" s="26"/>
      <c r="J48" s="26"/>
      <c r="K48" s="26"/>
    </row>
    <row r="49" spans="1:17" s="10" customFormat="1" ht="7.5" customHeight="1" x14ac:dyDescent="0.25">
      <c r="A49" s="27"/>
      <c r="B49" s="26"/>
      <c r="C49" s="26"/>
      <c r="D49" s="49"/>
      <c r="E49" s="49"/>
      <c r="F49" s="49"/>
      <c r="G49" s="26"/>
      <c r="H49" s="26"/>
      <c r="I49" s="26"/>
      <c r="J49" s="26"/>
      <c r="K49" s="26"/>
    </row>
    <row r="50" spans="1:17" s="10" customFormat="1" ht="15.75" x14ac:dyDescent="0.25">
      <c r="A50" s="90" t="s">
        <v>58</v>
      </c>
      <c r="B50" s="90"/>
      <c r="C50" s="90"/>
      <c r="D50" s="26"/>
      <c r="E50" s="26"/>
      <c r="F50" s="26"/>
      <c r="G50" s="26"/>
      <c r="H50" s="26"/>
      <c r="I50" s="26"/>
      <c r="J50" s="26"/>
      <c r="K50" s="26"/>
    </row>
    <row r="51" spans="1:17" s="10" customFormat="1" ht="15.75" x14ac:dyDescent="0.25">
      <c r="A51" s="27"/>
      <c r="B51" s="26" t="str">
        <f>"% Loss per ton ("&amp;D26&amp;" year tarp life)"</f>
        <v>% Loss per ton (1 year tarp life)</v>
      </c>
      <c r="C51" s="26"/>
      <c r="D51" s="56">
        <f>SUM((D39*100)/D44)/100</f>
        <v>7.9719387755102053E-2</v>
      </c>
      <c r="E51" s="56">
        <f>SUM((D39*100)/E44)/100</f>
        <v>5.0730519480519487E-2</v>
      </c>
      <c r="F51" s="56">
        <f>SUM((D39*100)/F44)/100</f>
        <v>2.7901785714285716E-2</v>
      </c>
      <c r="G51" s="26"/>
      <c r="H51" s="26"/>
      <c r="I51" s="26"/>
      <c r="J51" s="26"/>
      <c r="K51" s="26"/>
    </row>
    <row r="52" spans="1:17" s="10" customFormat="1" ht="15.75" x14ac:dyDescent="0.25">
      <c r="A52" s="27"/>
      <c r="B52" s="26" t="str">
        <f>"% Loss per ton ("&amp;E26&amp;" year tarp life)"</f>
        <v>% Loss per ton (3 year tarp life)</v>
      </c>
      <c r="C52" s="26"/>
      <c r="D52" s="56">
        <f>SUM((E39*100)/D44)/100</f>
        <v>4.0036848072562359E-2</v>
      </c>
      <c r="E52" s="56">
        <f>SUM((E39*100)/E44)/100</f>
        <v>2.5477994227994228E-2</v>
      </c>
      <c r="F52" s="56">
        <f>SUM((E39*100)/F44)/100</f>
        <v>1.4012896825396826E-2</v>
      </c>
      <c r="G52" s="26"/>
      <c r="H52" s="26"/>
      <c r="I52" s="26"/>
      <c r="J52" s="26"/>
      <c r="K52" s="26"/>
    </row>
    <row r="53" spans="1:17" s="10" customFormat="1" ht="15.75" x14ac:dyDescent="0.25">
      <c r="A53" s="26"/>
      <c r="B53" s="26"/>
      <c r="C53" s="26"/>
      <c r="D53" s="26"/>
      <c r="E53" s="26"/>
      <c r="F53" s="35"/>
      <c r="G53" s="26"/>
      <c r="H53" s="26"/>
      <c r="I53" s="26"/>
      <c r="J53" s="26"/>
      <c r="K53" s="26"/>
    </row>
    <row r="54" spans="1:17" s="13" customFormat="1" ht="15" customHeight="1" x14ac:dyDescent="0.25">
      <c r="A54" s="87" t="s">
        <v>61</v>
      </c>
      <c r="B54" s="87"/>
      <c r="C54" s="87"/>
      <c r="D54" s="87"/>
      <c r="E54" s="87"/>
      <c r="F54" s="87"/>
      <c r="G54" s="87"/>
      <c r="H54" s="87"/>
      <c r="I54" s="12"/>
      <c r="J54" s="12"/>
      <c r="K54" s="12"/>
    </row>
    <row r="55" spans="1:17" s="13" customFormat="1" ht="15" customHeight="1" x14ac:dyDescent="0.25">
      <c r="A55" s="87"/>
      <c r="B55" s="87"/>
      <c r="C55" s="87"/>
      <c r="D55" s="87"/>
      <c r="E55" s="87"/>
      <c r="F55" s="87"/>
      <c r="G55" s="87"/>
      <c r="H55" s="87"/>
      <c r="I55" s="12"/>
      <c r="J55" s="12"/>
      <c r="K55" s="12"/>
    </row>
    <row r="56" spans="1:17" s="75" customFormat="1" ht="18" customHeight="1" x14ac:dyDescent="0.2">
      <c r="A56" s="14"/>
      <c r="B56" s="14"/>
      <c r="C56" s="14"/>
      <c r="D56" s="14"/>
      <c r="E56" s="16"/>
      <c r="F56" s="74"/>
      <c r="G56" s="74"/>
      <c r="H56" s="82" t="str">
        <f>'Hay Shed'!H57</f>
        <v>October, 2022</v>
      </c>
      <c r="I56" s="76"/>
      <c r="J56" s="16"/>
      <c r="K56" s="83"/>
      <c r="L56" s="84"/>
      <c r="O56" s="77"/>
      <c r="P56" s="78"/>
      <c r="Q56" s="78"/>
    </row>
    <row r="57" spans="1:17" s="75" customFormat="1" ht="21" customHeight="1" x14ac:dyDescent="0.2">
      <c r="A57" s="79"/>
      <c r="B57" s="73"/>
      <c r="C57" s="80"/>
      <c r="D57" s="80"/>
      <c r="E57" s="80"/>
      <c r="F57" s="81"/>
      <c r="O57" s="77"/>
      <c r="P57" s="78"/>
      <c r="Q57" s="78"/>
    </row>
    <row r="58" spans="1:17" s="22" customFormat="1" ht="12.75" x14ac:dyDescent="0.2">
      <c r="A58" s="92"/>
      <c r="B58" s="92"/>
      <c r="C58" s="21"/>
      <c r="D58" s="92"/>
      <c r="E58" s="92"/>
      <c r="F58" s="20"/>
      <c r="G58" s="21"/>
      <c r="H58" s="21"/>
      <c r="I58" s="21"/>
      <c r="J58" s="21"/>
      <c r="K58" s="21"/>
    </row>
    <row r="59" spans="1:17" s="25" customFormat="1" ht="12.75" x14ac:dyDescent="0.2">
      <c r="A59" s="85"/>
      <c r="B59" s="85"/>
      <c r="C59" s="24"/>
      <c r="D59" s="85"/>
      <c r="E59" s="85"/>
      <c r="F59" s="23"/>
      <c r="G59" s="24"/>
      <c r="H59" s="24"/>
      <c r="I59" s="24"/>
      <c r="J59" s="24"/>
      <c r="K59" s="24"/>
    </row>
    <row r="60" spans="1:17" s="15" customFormat="1" ht="17.100000000000001" customHeight="1" x14ac:dyDescent="0.2">
      <c r="A60" s="14"/>
      <c r="B60" s="14"/>
      <c r="C60" s="14"/>
      <c r="D60" s="14"/>
      <c r="E60" s="14"/>
      <c r="G60" s="14"/>
      <c r="H60" s="16"/>
      <c r="I60" s="14"/>
    </row>
    <row r="61" spans="1:17" s="19" customFormat="1" ht="23.25" customHeight="1" x14ac:dyDescent="0.2">
      <c r="A61" s="17"/>
      <c r="B61" s="14"/>
      <c r="C61" s="14"/>
      <c r="D61" s="18"/>
      <c r="E61" s="18"/>
      <c r="F61" s="18"/>
      <c r="G61" s="18"/>
      <c r="H61" s="18"/>
      <c r="I61" s="18"/>
      <c r="J61" s="18"/>
      <c r="K61" s="18"/>
    </row>
    <row r="62" spans="1:17" s="22" customFormat="1" ht="12.75" x14ac:dyDescent="0.2">
      <c r="A62" s="20"/>
      <c r="B62" s="21"/>
      <c r="C62" s="21"/>
      <c r="D62" s="20"/>
      <c r="E62" s="21"/>
      <c r="F62" s="21"/>
      <c r="G62" s="21"/>
      <c r="H62" s="21"/>
      <c r="I62" s="21"/>
      <c r="J62" s="21"/>
      <c r="K62" s="21"/>
    </row>
    <row r="63" spans="1:17" s="25" customFormat="1" ht="12.75" x14ac:dyDescent="0.2">
      <c r="A63" s="23"/>
      <c r="B63" s="24"/>
      <c r="C63" s="24"/>
      <c r="D63" s="23"/>
      <c r="E63" s="24"/>
      <c r="F63" s="24"/>
      <c r="G63" s="24"/>
      <c r="H63" s="24"/>
      <c r="I63" s="24"/>
      <c r="J63" s="24"/>
      <c r="K63" s="24"/>
    </row>
  </sheetData>
  <sheetProtection password="C6A6" sheet="1" objects="1" scenarios="1"/>
  <mergeCells count="13">
    <mergeCell ref="A58:B58"/>
    <mergeCell ref="D58:E58"/>
    <mergeCell ref="A6:H6"/>
    <mergeCell ref="D43:F43"/>
    <mergeCell ref="A54:H55"/>
    <mergeCell ref="D31:E31"/>
    <mergeCell ref="A32:C32"/>
    <mergeCell ref="A38:C38"/>
    <mergeCell ref="A39:C39"/>
    <mergeCell ref="A41:C41"/>
    <mergeCell ref="A45:C45"/>
    <mergeCell ref="A46:C46"/>
    <mergeCell ref="A50:C50"/>
  </mergeCells>
  <pageMargins left="0.74803149606299213" right="0.74803149606299213" top="0.98425196850393704" bottom="0.98425196850393704" header="0.51181102362204722" footer="0.51181102362204722"/>
  <pageSetup scale="71" orientation="portrait" r:id="rId1"/>
  <headerFooter alignWithMargins="0"/>
  <colBreaks count="1" manualBreakCount="1">
    <brk id="8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FA16B1-63E8-4DD8-9D92-80123944A79E}"/>
</file>

<file path=customXml/itemProps2.xml><?xml version="1.0" encoding="utf-8"?>
<ds:datastoreItem xmlns:ds="http://schemas.openxmlformats.org/officeDocument/2006/customXml" ds:itemID="{72A7C1CF-DF5C-405A-BDB5-58440E88110E}"/>
</file>

<file path=customXml/itemProps3.xml><?xml version="1.0" encoding="utf-8"?>
<ds:datastoreItem xmlns:ds="http://schemas.openxmlformats.org/officeDocument/2006/customXml" ds:itemID="{2B18442F-54E9-4EE4-A291-F8987C31E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Hay Shed</vt:lpstr>
      <vt:lpstr>Hay Tarp</vt:lpstr>
      <vt:lpstr>'Hay Shed'!Print_Area</vt:lpstr>
      <vt:lpstr>'Hay Tarp'!Print_Area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Hay Storage Shed Cost Planner</dc:title>
  <dc:creator>Government of Manitoba</dc:creator>
  <cp:lastModifiedBy>Arnott, Roy (ARD)</cp:lastModifiedBy>
  <cp:lastPrinted>2022-10-07T19:39:35Z</cp:lastPrinted>
  <dcterms:created xsi:type="dcterms:W3CDTF">2002-10-29T20:11:25Z</dcterms:created>
  <dcterms:modified xsi:type="dcterms:W3CDTF">2022-10-07T19:41:35Z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