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0" windowWidth="12105" windowHeight="720" tabRatio="862" activeTab="0"/>
  </bookViews>
  <sheets>
    <sheet name="Introduction" sheetId="1" r:id="rId1"/>
    <sheet name="Assumptions" sheetId="2" r:id="rId2"/>
    <sheet name="Steady State Summary" sheetId="3" r:id="rId3"/>
    <sheet name="Ramp-up Cost Summary" sheetId="4" r:id="rId4"/>
    <sheet name="Risk Analysis" sheetId="5" state="hidden" r:id="rId5"/>
    <sheet name="Finish Input" sheetId="6" r:id="rId6"/>
    <sheet name="Finish-Worksheet" sheetId="7" r:id="rId7"/>
    <sheet name="Other Assumptions" sheetId="8" r:id="rId8"/>
    <sheet name="Finish-O" sheetId="9" state="hidden" r:id="rId9"/>
    <sheet name="Weaner-O" sheetId="10" state="hidden" r:id="rId10"/>
  </sheets>
  <definedNames>
    <definedName name="\A" localSheetId="0">#REF!</definedName>
    <definedName name="\A" localSheetId="3">#REF!</definedName>
    <definedName name="\A">#REF!</definedName>
    <definedName name="\B" localSheetId="0">#REF!</definedName>
    <definedName name="\B" localSheetId="3">#REF!</definedName>
    <definedName name="\B">#REF!</definedName>
    <definedName name="\C" localSheetId="0">#REF!</definedName>
    <definedName name="\C" localSheetId="3">#REF!</definedName>
    <definedName name="\C">#REF!</definedName>
    <definedName name="\D" localSheetId="0">#REF!</definedName>
    <definedName name="\D" localSheetId="3">#REF!</definedName>
    <definedName name="\D">#REF!</definedName>
    <definedName name="\E" localSheetId="0">#REF!</definedName>
    <definedName name="\E" localSheetId="3">#REF!</definedName>
    <definedName name="\E">#REF!</definedName>
    <definedName name="\F" localSheetId="0">#REF!</definedName>
    <definedName name="\F" localSheetId="3">#REF!</definedName>
    <definedName name="\F">#REF!</definedName>
    <definedName name="\H" localSheetId="0">#REF!</definedName>
    <definedName name="\H" localSheetId="3">#REF!</definedName>
    <definedName name="\H">#REF!</definedName>
    <definedName name="\I" localSheetId="0">#REF!</definedName>
    <definedName name="\I" localSheetId="3">#REF!</definedName>
    <definedName name="\I">#REF!</definedName>
    <definedName name="\L" localSheetId="0">#REF!</definedName>
    <definedName name="\L" localSheetId="3">#REF!</definedName>
    <definedName name="\L">#REF!</definedName>
    <definedName name="\N" localSheetId="0">#REF!</definedName>
    <definedName name="\N" localSheetId="3">#REF!</definedName>
    <definedName name="\N">#REF!</definedName>
    <definedName name="\O" localSheetId="0">#REF!</definedName>
    <definedName name="\O" localSheetId="3">#REF!</definedName>
    <definedName name="\O">#REF!</definedName>
    <definedName name="\R" localSheetId="0">#REF!</definedName>
    <definedName name="\R" localSheetId="3">#REF!</definedName>
    <definedName name="\R">#REF!</definedName>
    <definedName name="\S" localSheetId="0">#REF!</definedName>
    <definedName name="\S" localSheetId="3">#REF!</definedName>
    <definedName name="\S">#REF!</definedName>
    <definedName name="\T" localSheetId="0">#REF!</definedName>
    <definedName name="\T" localSheetId="3">#REF!</definedName>
    <definedName name="\T">#REF!</definedName>
    <definedName name="\U" localSheetId="0">#REF!</definedName>
    <definedName name="\U" localSheetId="3">#REF!</definedName>
    <definedName name="\U">#REF!</definedName>
    <definedName name="\W" localSheetId="0">#REF!</definedName>
    <definedName name="\W" localSheetId="3">#REF!</definedName>
    <definedName name="\W">#REF!</definedName>
    <definedName name="\Y" localSheetId="0">#REF!</definedName>
    <definedName name="\Y" localSheetId="3">#REF!</definedName>
    <definedName name="\Y">#REF!</definedName>
    <definedName name="_xlfn.IFERROR" hidden="1">#NAME?</definedName>
    <definedName name="_xlnm.Print_Area" localSheetId="1">'Assumptions'!$A$1:$I$39</definedName>
    <definedName name="_xlnm.Print_Area" localSheetId="5">'Finish Input'!$A$1:$L$145</definedName>
    <definedName name="_xlnm.Print_Area" localSheetId="6">'Finish-Worksheet'!$A$1:$J$236</definedName>
    <definedName name="_xlnm.Print_Area" localSheetId="0">'Introduction'!$A$1:$K$44</definedName>
    <definedName name="_xlnm.Print_Area" localSheetId="3">'Ramp-up Cost Summary'!$A$1:$J$75</definedName>
    <definedName name="Z_6E930F6D_F725_11D2_92B5_0004ACD86FC2_.wvu.PrintArea" localSheetId="0" hidden="1">'Introduction'!$A$5:$A$45</definedName>
  </definedNames>
  <calcPr fullCalcOnLoad="1"/>
</workbook>
</file>

<file path=xl/sharedStrings.xml><?xml version="1.0" encoding="utf-8"?>
<sst xmlns="http://schemas.openxmlformats.org/spreadsheetml/2006/main" count="1263" uniqueCount="456">
  <si>
    <t>Total Hours per year</t>
  </si>
  <si>
    <t xml:space="preserve"> hours/year</t>
  </si>
  <si>
    <t xml:space="preserve"> hours/week</t>
  </si>
  <si>
    <t xml:space="preserve"> </t>
  </si>
  <si>
    <t/>
  </si>
  <si>
    <t>====================================</t>
  </si>
  <si>
    <t>=============================================================================</t>
  </si>
  <si>
    <t>WEANER PIG PRODUCTION COST SUMMARY</t>
  </si>
  <si>
    <t>GROWING AND FINISHING PIG PRODUCTION SUMMARY</t>
  </si>
  <si>
    <t>A.</t>
  </si>
  <si>
    <t>OPERATING COSTS</t>
  </si>
  <si>
    <t xml:space="preserve">     TOTAL</t>
  </si>
  <si>
    <t>$/SOW/YR</t>
  </si>
  <si>
    <t>A. OPERATING COSTS</t>
  </si>
  <si>
    <t>TOTAL</t>
  </si>
  <si>
    <t>$/HOG SOLD</t>
  </si>
  <si>
    <t>$/PLACE</t>
  </si>
  <si>
    <t>1.</t>
  </si>
  <si>
    <t>Feed Costs:</t>
  </si>
  <si>
    <t>------------------------------------------------------------------------</t>
  </si>
  <si>
    <t>-----------------------------------------------------------------------</t>
  </si>
  <si>
    <t>Total Assets</t>
  </si>
  <si>
    <t>1.01</t>
  </si>
  <si>
    <t>Sow Lactation Ration</t>
  </si>
  <si>
    <t>Grower Ration #1</t>
  </si>
  <si>
    <t>2.</t>
  </si>
  <si>
    <t>1.02</t>
  </si>
  <si>
    <t>Sow Gestation Ration</t>
  </si>
  <si>
    <t>Grower Ration #2</t>
  </si>
  <si>
    <t>3.</t>
  </si>
  <si>
    <t>1.03</t>
  </si>
  <si>
    <t>Boar Ration</t>
  </si>
  <si>
    <t>Finisher Ration</t>
  </si>
  <si>
    <t>1. Feed Requirements and Costs</t>
  </si>
  <si>
    <t>4.</t>
  </si>
  <si>
    <t>1.04</t>
  </si>
  <si>
    <t>Creep Feed</t>
  </si>
  <si>
    <t>==================================================</t>
  </si>
  <si>
    <t>1.05</t>
  </si>
  <si>
    <t>Starter Ration #1</t>
  </si>
  <si>
    <t>Total Feed Cost</t>
  </si>
  <si>
    <t>Starter Ration #2</t>
  </si>
  <si>
    <t>Other Operating Costs:</t>
  </si>
  <si>
    <t>Dressing %</t>
  </si>
  <si>
    <t>2.01</t>
  </si>
  <si>
    <t>Weanling Cost **</t>
  </si>
  <si>
    <t>x</t>
  </si>
  <si>
    <t xml:space="preserve"> feed conversion ratio</t>
  </si>
  <si>
    <t xml:space="preserve">  or:</t>
  </si>
  <si>
    <t xml:space="preserve"> /lb</t>
  </si>
  <si>
    <t>2.02</t>
  </si>
  <si>
    <t>Veterinary Cost</t>
  </si>
  <si>
    <t>2.03</t>
  </si>
  <si>
    <t>Maintenance &amp; Repairs</t>
  </si>
  <si>
    <t>=</t>
  </si>
  <si>
    <t>Vet. Medicine &amp; Supplies:</t>
  </si>
  <si>
    <t>2.04</t>
  </si>
  <si>
    <t>Hydro (Heat)</t>
  </si>
  <si>
    <t>Labour</t>
  </si>
  <si>
    <t xml:space="preserve"> /tonne ration</t>
  </si>
  <si>
    <t xml:space="preserve">    Professional Services</t>
  </si>
  <si>
    <t>2.05</t>
  </si>
  <si>
    <t>Insurance</t>
  </si>
  <si>
    <t xml:space="preserve"> kg/tonne</t>
  </si>
  <si>
    <t xml:space="preserve">    Medication</t>
  </si>
  <si>
    <t>2.06</t>
  </si>
  <si>
    <t>Manure Haulage</t>
  </si>
  <si>
    <t>2.07</t>
  </si>
  <si>
    <t>Office Supplies</t>
  </si>
  <si>
    <t>2.08</t>
  </si>
  <si>
    <t>Marketing &amp; Transportation</t>
  </si>
  <si>
    <t>Average Beginning Weight (kg)</t>
  </si>
  <si>
    <t>2.09</t>
  </si>
  <si>
    <t>Property Taxes</t>
  </si>
  <si>
    <t>Average Ending Weight (kg)</t>
  </si>
  <si>
    <t>================================================</t>
  </si>
  <si>
    <t>Percent Mortality</t>
  </si>
  <si>
    <t>Subtotal Operating Costs</t>
  </si>
  <si>
    <t>Days on Feed</t>
  </si>
  <si>
    <t>2.10</t>
  </si>
  <si>
    <t>Interest on Operating Cost</t>
  </si>
  <si>
    <t xml:space="preserve"> days/year</t>
  </si>
  <si>
    <t>Sow Replacement</t>
  </si>
  <si>
    <t>Marketing &amp; Transport.</t>
  </si>
  <si>
    <t>-</t>
  </si>
  <si>
    <t>Boar Replacement</t>
  </si>
  <si>
    <t>TOTAL OPERATING COSTS</t>
  </si>
  <si>
    <t>B. FIXED COSTS</t>
  </si>
  <si>
    <t>Other Operating Costs</t>
  </si>
  <si>
    <t>============================================</t>
  </si>
  <si>
    <t>Depreciation:</t>
  </si>
  <si>
    <t>Average Daily Gain (kg)</t>
  </si>
  <si>
    <t>3.01</t>
  </si>
  <si>
    <t>Buildings and Manure Storage</t>
  </si>
  <si>
    <t>3.02</t>
  </si>
  <si>
    <t>Equipment</t>
  </si>
  <si>
    <t>Total Operating Costs</t>
  </si>
  <si>
    <t>=============================================</t>
  </si>
  <si>
    <t>Total Depreciation Cost</t>
  </si>
  <si>
    <t>B.</t>
  </si>
  <si>
    <t>FIXED COSTS</t>
  </si>
  <si>
    <t>Investment:</t>
  </si>
  <si>
    <t>4.01</t>
  </si>
  <si>
    <t>4.02</t>
  </si>
  <si>
    <t>===========================================</t>
  </si>
  <si>
    <t>Total Investment Cost</t>
  </si>
  <si>
    <t>TOTAL FIXED COSTS</t>
  </si>
  <si>
    <t>Purchased</t>
  </si>
  <si>
    <t>Total</t>
  </si>
  <si>
    <t>C. LABOUR</t>
  </si>
  <si>
    <t>2. Other Operating Costs</t>
  </si>
  <si>
    <t>4.03</t>
  </si>
  <si>
    <t>Breeding Herd</t>
  </si>
  <si>
    <t>hours/wk. @</t>
  </si>
  <si>
    <t xml:space="preserve"> /hour</t>
  </si>
  <si>
    <t>===============================================</t>
  </si>
  <si>
    <t>TOTAL COST OF PRODUCTION</t>
  </si>
  <si>
    <t>BREAK-EVEN PRICE (carcass)</t>
  </si>
  <si>
    <t>$/100 kg</t>
  </si>
  <si>
    <t>$/CWT</t>
  </si>
  <si>
    <t>----------------------</t>
  </si>
  <si>
    <t>-----------------------</t>
  </si>
  <si>
    <t>LABOUR</t>
  </si>
  <si>
    <t>C.</t>
  </si>
  <si>
    <t>Operating Cost</t>
  </si>
  <si>
    <t>hours/wk.</t>
  </si>
  <si>
    <t>Operating &amp; Labour Cost</t>
  </si>
  <si>
    <t>Operating, Labour &amp; Fixed Cost</t>
  </si>
  <si>
    <t xml:space="preserve">  Veterinary Cost</t>
  </si>
  <si>
    <t>Total Days to Market</t>
  </si>
  <si>
    <t>Break-even Price = Cost per Hog Sold / (Slaughter Wt. X  Dressing % X Index)</t>
  </si>
  <si>
    <t>Revenue per pig sold:</t>
  </si>
  <si>
    <t>** Footnote on Weanling Cost:  This is not the price paid for the weanling.  Because</t>
  </si>
  <si>
    <t xml:space="preserve">    this figure is expressed on a "per hog sold" basis, it includes death loss.</t>
  </si>
  <si>
    <t>Net of Operating Cost</t>
  </si>
  <si>
    <t>Net of Operating &amp; Labour Cost</t>
  </si>
  <si>
    <t>Net of Operating, Labour &amp; Fixed Cost</t>
  </si>
  <si>
    <t xml:space="preserve">  Maintenance &amp; Repairs</t>
  </si>
  <si>
    <t>Maintenance &amp; Repair</t>
  </si>
  <si>
    <t xml:space="preserve"> /$100 Capital Invested</t>
  </si>
  <si>
    <t xml:space="preserve">  Insurance</t>
  </si>
  <si>
    <t>Cost</t>
  </si>
  <si>
    <t xml:space="preserve"> %</t>
  </si>
  <si>
    <t>Operating Loan Interest %</t>
  </si>
  <si>
    <t xml:space="preserve"> /year</t>
  </si>
  <si>
    <t>Property Tax:</t>
  </si>
  <si>
    <t>acres</t>
  </si>
  <si>
    <t xml:space="preserve">  Office Supplies</t>
  </si>
  <si>
    <t>Depreciation (straight line):</t>
  </si>
  <si>
    <t>Useful Life:</t>
  </si>
  <si>
    <t>Buildings</t>
  </si>
  <si>
    <t xml:space="preserve"> years</t>
  </si>
  <si>
    <t>Salvage Value (% of original cost):</t>
  </si>
  <si>
    <t xml:space="preserve">  Marketing &amp; Transportation</t>
  </si>
  <si>
    <t>Investment Interest Rate</t>
  </si>
  <si>
    <t xml:space="preserve">    1 cubic metre = 35.314 cubic feet</t>
  </si>
  <si>
    <t xml:space="preserve">    1 cubic metre = 219.97 imperial gallons</t>
  </si>
  <si>
    <t>Total Building Cost</t>
  </si>
  <si>
    <t>Standby Generator</t>
  </si>
  <si>
    <t>Total Equipment Cost</t>
  </si>
  <si>
    <t>Total Buildings and Equipment Cost</t>
  </si>
  <si>
    <t>+</t>
  </si>
  <si>
    <t>÷</t>
  </si>
  <si>
    <t xml:space="preserve">                    Useful Life</t>
  </si>
  <si>
    <t xml:space="preserve"> years useful life</t>
  </si>
  <si>
    <t>Your Cost</t>
  </si>
  <si>
    <t xml:space="preserve"> % operating rate</t>
  </si>
  <si>
    <t xml:space="preserve">4.  Investment Cost </t>
  </si>
  <si>
    <t xml:space="preserve"> % of total capital investment</t>
  </si>
  <si>
    <t xml:space="preserve"> total buildings and equipment cost</t>
  </si>
  <si>
    <t>Original cost - Salvage Value</t>
  </si>
  <si>
    <t>FCR *</t>
  </si>
  <si>
    <t>* FCR = Feed Conversion Ratio (Feed:Gain)</t>
  </si>
  <si>
    <t xml:space="preserve"> % mortality</t>
  </si>
  <si>
    <t>Guidelines For Estimating</t>
  </si>
  <si>
    <t>³ FOOTNOTE:            1 cubic metre = 1000 litres</t>
  </si>
  <si>
    <t>Total Capital Investment</t>
  </si>
  <si>
    <t>Feed Requirements and Costs</t>
  </si>
  <si>
    <t>Indicators of Productivity</t>
  </si>
  <si>
    <t>Total Cost of Production</t>
  </si>
  <si>
    <t>Total Fixed Costs</t>
  </si>
  <si>
    <t>Fixed Costs</t>
  </si>
  <si>
    <t>B.  Fixed Costs</t>
  </si>
  <si>
    <t>A.  Operating Costs</t>
  </si>
  <si>
    <t>Productivity Profile</t>
  </si>
  <si>
    <t>A1</t>
  </si>
  <si>
    <t>A7</t>
  </si>
  <si>
    <t>A8</t>
  </si>
  <si>
    <t>A9</t>
  </si>
  <si>
    <t>B7</t>
  </si>
  <si>
    <t>Return On Assets (ROA)</t>
  </si>
  <si>
    <t xml:space="preserve">Definition: Total Assets includes the buildings, </t>
  </si>
  <si>
    <t xml:space="preserve">  Property Taxes</t>
  </si>
  <si>
    <t>Site preparation</t>
  </si>
  <si>
    <t>Land Investment</t>
  </si>
  <si>
    <t xml:space="preserve">Feed Conversion Ratio </t>
  </si>
  <si>
    <t xml:space="preserve">Barn </t>
  </si>
  <si>
    <t>Buildings and equipment are valued at new cost.</t>
  </si>
  <si>
    <t>NOTE: 1 sq.ft. = 0.0929 sq.m;  1 sq.m.= 10.764 sq.ft.;  1 ft.= 0.3048 m</t>
  </si>
  <si>
    <r>
      <t>ft.</t>
    </r>
    <r>
      <rPr>
        <vertAlign val="superscript"/>
        <sz val="12"/>
        <rFont val="Arial"/>
        <family val="2"/>
      </rPr>
      <t>2</t>
    </r>
  </si>
  <si>
    <t xml:space="preserve"> buildings &amp; equipment </t>
  </si>
  <si>
    <t xml:space="preserve"> /$100 </t>
  </si>
  <si>
    <t xml:space="preserve"> /$100 capital </t>
  </si>
  <si>
    <t xml:space="preserve"> subtotal operating cost</t>
  </si>
  <si>
    <t xml:space="preserve"> average</t>
  </si>
  <si>
    <t xml:space="preserve"> salvage value (building only)</t>
  </si>
  <si>
    <t xml:space="preserve"> total equipment cost</t>
  </si>
  <si>
    <t xml:space="preserve"> salvage value</t>
  </si>
  <si>
    <t>3. Depreciation</t>
  </si>
  <si>
    <t xml:space="preserve"> land investment</t>
  </si>
  <si>
    <t xml:space="preserve"> % investment rate</t>
  </si>
  <si>
    <t xml:space="preserve"> total hours/year</t>
  </si>
  <si>
    <t>Net Income + Operating Interest + Investment Interest</t>
  </si>
  <si>
    <r>
      <t xml:space="preserve">  </t>
    </r>
    <r>
      <rPr>
        <u val="single"/>
        <sz val="12"/>
        <rFont val="Arial"/>
        <family val="2"/>
      </rPr>
      <t xml:space="preserve"> - Value of Unpaid Family and Operator Labour</t>
    </r>
  </si>
  <si>
    <t>2.03 Maintenance &amp; Repairs</t>
  </si>
  <si>
    <t>3.02 Equipment</t>
  </si>
  <si>
    <t>4.01 Land</t>
  </si>
  <si>
    <t>4.03 Equipment</t>
  </si>
  <si>
    <r>
      <t>Capital Investment</t>
    </r>
    <r>
      <rPr>
        <b/>
        <vertAlign val="superscript"/>
        <sz val="14"/>
        <color indexed="18"/>
        <rFont val="Arial"/>
        <family val="2"/>
      </rPr>
      <t>1</t>
    </r>
  </si>
  <si>
    <t>5.  Labour Cost</t>
  </si>
  <si>
    <r>
      <t>(Original Cost + Salvage Value)</t>
    </r>
    <r>
      <rPr>
        <b/>
        <sz val="12"/>
        <rFont val="Arial"/>
        <family val="2"/>
      </rPr>
      <t xml:space="preserve">  X  Investment Rate</t>
    </r>
  </si>
  <si>
    <t>Office &amp; Loading</t>
  </si>
  <si>
    <t>Other Costs</t>
  </si>
  <si>
    <t>Total Other Costs</t>
  </si>
  <si>
    <t>Professional Services</t>
  </si>
  <si>
    <t>professional services</t>
  </si>
  <si>
    <t xml:space="preserve"> total days to market</t>
  </si>
  <si>
    <t>acres @</t>
  </si>
  <si>
    <t>Land Value</t>
  </si>
  <si>
    <t>Turnover (365 / days to market)</t>
  </si>
  <si>
    <t>Buildings and equipment</t>
  </si>
  <si>
    <t xml:space="preserve">           2</t>
  </si>
  <si>
    <t>A. Operating Costs</t>
  </si>
  <si>
    <t>B. Fixed Costs</t>
  </si>
  <si>
    <t>C.  Labour</t>
  </si>
  <si>
    <t>site preparation</t>
  </si>
  <si>
    <t>Date:</t>
  </si>
  <si>
    <t>Estimated Farmgate</t>
  </si>
  <si>
    <t xml:space="preserve">Marginal Returns </t>
  </si>
  <si>
    <t>Over Operating Costs</t>
  </si>
  <si>
    <t>Over Operating &amp; Labour Costs</t>
  </si>
  <si>
    <t>Over Total Costs (Net Profit)</t>
  </si>
  <si>
    <t>Operating Expense Ratio</t>
  </si>
  <si>
    <t>Operating Costs</t>
  </si>
  <si>
    <t>Operating &amp; Labour Costs</t>
  </si>
  <si>
    <t>Profitability and Breakeven Analysis</t>
  </si>
  <si>
    <t>Breakeven Selling Price</t>
  </si>
  <si>
    <t xml:space="preserve">Return on Assets (ROA) </t>
  </si>
  <si>
    <t>per kwhr</t>
  </si>
  <si>
    <t>Land for Barn Site</t>
  </si>
  <si>
    <t>Land</t>
  </si>
  <si>
    <t xml:space="preserve"> /acre</t>
  </si>
  <si>
    <t xml:space="preserve"> taxes on barn and land</t>
  </si>
  <si>
    <t xml:space="preserve"> taxes on  land</t>
  </si>
  <si>
    <t>Total Costs</t>
  </si>
  <si>
    <t>Weanling cost</t>
  </si>
  <si>
    <t>Feed cost</t>
  </si>
  <si>
    <t>Subtotal</t>
  </si>
  <si>
    <t xml:space="preserve">. . . . . . . . . . . . . . . . . . . . . . . . . . . . . . . . . . . . . . . . . . . . . . . . . </t>
  </si>
  <si>
    <r>
      <t xml:space="preserve">Note: </t>
    </r>
    <r>
      <rPr>
        <sz val="10"/>
        <rFont val="Arial"/>
        <family val="2"/>
      </rPr>
      <t xml:space="preserve">This budget is only a guide and is not intended to be an in-depth study of the cost of production of this industry. Interpretation and utilization of this information is the responsibility of the user. No liability for decisions based on this publication is assumed. </t>
    </r>
  </si>
  <si>
    <r>
      <rPr>
        <b/>
        <sz val="12"/>
        <rFont val="Arial"/>
        <family val="2"/>
      </rPr>
      <t xml:space="preserve">Note: </t>
    </r>
    <r>
      <rPr>
        <sz val="12"/>
        <rFont val="Arial"/>
        <family val="2"/>
      </rPr>
      <t>This budget is only a guide and is not intended as an in depth study of the cost of production of this industry. Interpretation and utilization of this information is the responsibility of the user.</t>
    </r>
  </si>
  <si>
    <t xml:space="preserve">This tool is available as an Excel worksheet at: </t>
  </si>
  <si>
    <t>or at your local</t>
  </si>
  <si>
    <t>Price ($ per 100kg)</t>
  </si>
  <si>
    <t>$/Kg</t>
  </si>
  <si>
    <t>1.04 Ration 4</t>
  </si>
  <si>
    <t>1.03 Ration 3</t>
  </si>
  <si>
    <t>1.02 Ration 2</t>
  </si>
  <si>
    <t>1.01 Ration 1</t>
  </si>
  <si>
    <t>2.01 Fingerling Cost</t>
  </si>
  <si>
    <t xml:space="preserve"> Per Kg</t>
  </si>
  <si>
    <t xml:space="preserve">$/kg </t>
  </si>
  <si>
    <t>Market weight (dressed-kg)</t>
  </si>
  <si>
    <t>Market Premium (if any)</t>
  </si>
  <si>
    <t>Gross Revenue</t>
  </si>
  <si>
    <t>Risk Analysis</t>
  </si>
  <si>
    <t>Length of time to pay for capital investment, including start-up costs</t>
  </si>
  <si>
    <t>Sensitivity Analysis - Impact of feed price and sale price on profit at steady state production</t>
  </si>
  <si>
    <t>Purchased feed is used.</t>
  </si>
  <si>
    <t>This input table outlines the cost of production for a steady state enterprise.</t>
  </si>
  <si>
    <t xml:space="preserve">Fingerling Cost based on </t>
  </si>
  <si>
    <t>Premium/kg</t>
  </si>
  <si>
    <t>Ration 1</t>
  </si>
  <si>
    <t>Ration 2</t>
  </si>
  <si>
    <t>Ration 3</t>
  </si>
  <si>
    <t>Ration 4</t>
  </si>
  <si>
    <t>Number of Fish (Ending)</t>
  </si>
  <si>
    <t>Average Number Fish in System</t>
  </si>
  <si>
    <t>Fish Purchased</t>
  </si>
  <si>
    <t>Fish Died</t>
  </si>
  <si>
    <t>Fish available for marketing</t>
  </si>
  <si>
    <t>kg/fish</t>
  </si>
  <si>
    <t xml:space="preserve">Kg/year </t>
  </si>
  <si>
    <t>Total $</t>
  </si>
  <si>
    <t>Electricity</t>
  </si>
  <si>
    <t>Oxygen</t>
  </si>
  <si>
    <t>Oxygen rate</t>
  </si>
  <si>
    <t>Oxygen usage</t>
  </si>
  <si>
    <t xml:space="preserve">Barn &amp; Land </t>
  </si>
  <si>
    <t xml:space="preserve"> kg weight gain/fish</t>
  </si>
  <si>
    <t xml:space="preserve"> kg ration/fish</t>
  </si>
  <si>
    <t>Number of Fingerlings</t>
  </si>
  <si>
    <t xml:space="preserve">  Fingerling Cost</t>
  </si>
  <si>
    <t>Electricity &amp; Oxygen</t>
  </si>
  <si>
    <t>oxygen</t>
  </si>
  <si>
    <t>2.04 Electricity &amp; Oxygen</t>
  </si>
  <si>
    <t>2.05 Telephone &amp; Other Utilities</t>
  </si>
  <si>
    <t>2.06 Lease &amp; Machinery Rental</t>
  </si>
  <si>
    <t>2.07 General Supplies</t>
  </si>
  <si>
    <t>2.08 Insurance</t>
  </si>
  <si>
    <t>2.10 Office Supplies</t>
  </si>
  <si>
    <t>2.12 Property Tax</t>
  </si>
  <si>
    <t>Telephone &amp; Other Utilities</t>
  </si>
  <si>
    <t>telephone</t>
  </si>
  <si>
    <t>internet</t>
  </si>
  <si>
    <t>Telephone</t>
  </si>
  <si>
    <t>Internet</t>
  </si>
  <si>
    <t>Lease &amp; Machinery Rental</t>
  </si>
  <si>
    <t>Equipment Lease</t>
  </si>
  <si>
    <t>Machinery Rental</t>
  </si>
  <si>
    <t>lease</t>
  </si>
  <si>
    <t>rental</t>
  </si>
  <si>
    <t>General Supplies</t>
  </si>
  <si>
    <t>general supplies</t>
  </si>
  <si>
    <t xml:space="preserve">  Buildings</t>
  </si>
  <si>
    <t xml:space="preserve">  management structures)</t>
  </si>
  <si>
    <t xml:space="preserve">  Equipment</t>
  </si>
  <si>
    <t xml:space="preserve"> Buildings</t>
  </si>
  <si>
    <t xml:space="preserve"> Equipment</t>
  </si>
  <si>
    <t xml:space="preserve">   management structures)</t>
  </si>
  <si>
    <t>The budget includes an assumption that the operation is continuous production with 4 distinct size cohorts of fish being present in the system.  Stocking densities are in accordance with industry accepted levels and accounted for in system design to ensure appropriate water quality parameters.</t>
  </si>
  <si>
    <t>The Manitoba aquaculture production industry is small and many external factors must be considered carefully by potential producers.  External factors such as procuring inputs and securing markets create business risk.  Some feed companies that operate in Manitoba are associated with leading aquaculture feed manufacturers and some companies in Manitoba participate in processing and marketing fish.  Producers need to develop these arrangements and accurately calculate their costs before they can properly make a decision.</t>
  </si>
  <si>
    <t>1.05 Ration 5</t>
  </si>
  <si>
    <t>3.01 Buildings &amp; Effluent Management</t>
  </si>
  <si>
    <t>2.09 Effluent Management Costs</t>
  </si>
  <si>
    <t>4.02 Buildings &amp; Effluent Management</t>
  </si>
  <si>
    <t>Concrete floors and tanks</t>
  </si>
  <si>
    <t>Effluent Management</t>
  </si>
  <si>
    <t>Fingerling Purchase weight</t>
  </si>
  <si>
    <t xml:space="preserve"> fingerling market price</t>
  </si>
  <si>
    <t>office supplies</t>
  </si>
  <si>
    <t xml:space="preserve">  Interest on Operating Cost</t>
  </si>
  <si>
    <t xml:space="preserve">equipment, land, and effluent management structures valued at </t>
  </si>
  <si>
    <t>Ration 5</t>
  </si>
  <si>
    <t>Kg</t>
  </si>
  <si>
    <t>Days on Purge</t>
  </si>
  <si>
    <t>Daily feed rate (% body weight/day)</t>
  </si>
  <si>
    <t>Feed Consumed (kg)/Fish</t>
  </si>
  <si>
    <t>Weight Gain (kg)/Fish</t>
  </si>
  <si>
    <t>Ration Cost/tonne</t>
  </si>
  <si>
    <t>Annual Production (kg/year)</t>
  </si>
  <si>
    <t>$/Kg Production</t>
  </si>
  <si>
    <t>Fish Culture Equipment</t>
  </si>
  <si>
    <t>Computer system</t>
  </si>
  <si>
    <t>¹ FOOTNOTE: The number of square feet in the building and the cost per square foot for buildings and equipment are approximations only.  A certified building plan which is designed according to the average production capacity of an aquaculture farm should be used in order to get the exact dimensions and area for new buildings.</t>
  </si>
  <si>
    <t>2.02 Veterinary Services &amp; Supplies</t>
  </si>
  <si>
    <t>Effluent Management Cost</t>
  </si>
  <si>
    <t>Fish Transportation</t>
  </si>
  <si>
    <t>/tonne of feed</t>
  </si>
  <si>
    <t xml:space="preserve">  Effluent Management Costs </t>
  </si>
  <si>
    <t>total costs</t>
  </si>
  <si>
    <t>total fish transportation</t>
  </si>
  <si>
    <t>Feed Transportation</t>
  </si>
  <si>
    <t>tonnes used</t>
  </si>
  <si>
    <t>Total feed used/ration (tonne)</t>
  </si>
  <si>
    <t>fingerling cost</t>
  </si>
  <si>
    <t>fingerlings purchased</t>
  </si>
  <si>
    <t xml:space="preserve"> total building cost (including effluent</t>
  </si>
  <si>
    <t>2.11 Transportation</t>
  </si>
  <si>
    <t>2.13 Interest on Operating Costs</t>
  </si>
  <si>
    <t>replacement cost, plus the value of fingerlings.</t>
  </si>
  <si>
    <t>Return On Investment (ROI)</t>
  </si>
  <si>
    <t xml:space="preserve">Return on Investment (ROI) </t>
  </si>
  <si>
    <r>
      <t>Note:</t>
    </r>
    <r>
      <rPr>
        <sz val="11"/>
        <rFont val="Arial"/>
        <family val="2"/>
      </rPr>
      <t xml:space="preserve"> This budget is only a guide and is not intended as an in-depth study of the cost of production of this industry. Interpretation and use of this information is the responsibility of the user.  If you need help with a budget, contact your local Manitoba Agriculture Office.</t>
    </r>
  </si>
  <si>
    <t>This guide is designed to provide you with planning information and a format for calculating costs of production of an aquaculture (20g to 2kg) grow-out enterprise  in Manitoba.  General Manitoba Agriculture recommendations are assumed in using feed and operating inputs. These figures provide an economic evaluation of the fish stock and estimated prices required to cover all costs.  Costs include labour, investment and depreciation, but do not include management costs, nor do they necessarily represent the average cost of production in Manitoba.</t>
  </si>
  <si>
    <t>The budget is based on the assumption that all feed is purchased from leading aquaculture feed manufacturers to ensure predictable growth and efficient feed conversion.  The budget includes building, equipment, effluent management and land investment.</t>
  </si>
  <si>
    <t>per cubic meter</t>
  </si>
  <si>
    <t>Gross Income - Total Costs</t>
  </si>
  <si>
    <t>feed conversion ratio</t>
  </si>
  <si>
    <t>daily feed rate (% body weight/day)</t>
  </si>
  <si>
    <t>days on feed</t>
  </si>
  <si>
    <t>size (kg) (beginning and ending)</t>
  </si>
  <si>
    <t>start</t>
  </si>
  <si>
    <t>end?</t>
  </si>
  <si>
    <t>days</t>
  </si>
  <si>
    <t>Target Market Price</t>
  </si>
  <si>
    <t>Days on feed</t>
  </si>
  <si>
    <t>No of Cohorts</t>
  </si>
  <si>
    <t>Cohort 1</t>
  </si>
  <si>
    <t>Cohort 2</t>
  </si>
  <si>
    <t>Cohort 3</t>
  </si>
  <si>
    <t>Cohort 4</t>
  </si>
  <si>
    <t>Days in system</t>
  </si>
  <si>
    <t>Fingerlings</t>
  </si>
  <si>
    <t>Days</t>
  </si>
  <si>
    <t>Cohort</t>
  </si>
  <si>
    <t>Days/Cohort 2</t>
  </si>
  <si>
    <t>Days/Cohort 3</t>
  </si>
  <si>
    <t>Days/Cohort 4</t>
  </si>
  <si>
    <t>Days/Cohort 1</t>
  </si>
  <si>
    <t>Days In</t>
  </si>
  <si>
    <t>Days not used</t>
  </si>
  <si>
    <t>Ramp-up - years of steady state production</t>
  </si>
  <si>
    <t>years</t>
  </si>
  <si>
    <t xml:space="preserve"> Ramp-up costs</t>
  </si>
  <si>
    <t>Days/year</t>
  </si>
  <si>
    <t>Years in Rampup</t>
  </si>
  <si>
    <t>Electricity discount</t>
  </si>
  <si>
    <t>Total Ramp-up Costs</t>
  </si>
  <si>
    <t>Production</t>
  </si>
  <si>
    <t>$/Kg of</t>
  </si>
  <si>
    <t>Years of Steady State Production</t>
  </si>
  <si>
    <t xml:space="preserve">The following 20 g to 2 kg budget is based on the assumption that the operation is comprised of a well designed and built recirculating aquaculture system (RAS) housed in a building with adequate insulation to maintain a relatively stable environment with close to optimal water temperature for cool water aquaculture throughout the year in Manitoba conditions. </t>
  </si>
  <si>
    <t>The budget includes an assumption that all fish harvested are marketable at the target market price, however, a mortality rate has been applied to inventory numbers to account for normal fish mortality and cull fish (unmarketable fish that are removed at any time in the production cycle).</t>
  </si>
  <si>
    <t>Other Assumptions</t>
  </si>
  <si>
    <t>Production assumptions:</t>
  </si>
  <si>
    <t>Marketing:</t>
  </si>
  <si>
    <t>Oxygen:</t>
  </si>
  <si>
    <t xml:space="preserve">The model includes an assumption that the majority of the oxygen required for the operation is provided by on-site oxygen generation equipment.  Incorporating bulk oxygen usage in the system design will result in a lower capital investment and affect operating costs.  Lower capital investment is due to reduced equipment costs.  Operating costs are affected by reducing electricity usage and increasing purchased oxygen usage.    </t>
  </si>
  <si>
    <t>Veterinary Costs:</t>
  </si>
  <si>
    <t>Effluent Management Costs:</t>
  </si>
  <si>
    <t>January, 2018</t>
  </si>
  <si>
    <t xml:space="preserve">Created and maintained by </t>
  </si>
  <si>
    <t xml:space="preserve">For more information, contact your local </t>
  </si>
  <si>
    <t>Darren Bond</t>
  </si>
  <si>
    <t xml:space="preserve">Farm Management Specialist         </t>
  </si>
  <si>
    <t xml:space="preserve">The model has been developed to reflect production of rainbow trout (a.k.a. steelhead) sourced from a genetic base commonly used in the aquaculture industry or is of comparable performance.  Growth is modelled based on water temperature between 14-15 degrees Celsius.        </t>
  </si>
  <si>
    <t>Costs include annual pumping costs and solids containing effluent pond maintenance costs which may occur less than annually.</t>
  </si>
  <si>
    <t>Jeff Eastman</t>
  </si>
  <si>
    <t>Electricity usage</t>
  </si>
  <si>
    <t>Electricity rate</t>
  </si>
  <si>
    <t>electricity</t>
  </si>
  <si>
    <t>% of Fish Weight Sold</t>
  </si>
  <si>
    <t>Testing &amp; Supplies</t>
  </si>
  <si>
    <t>Market weight (kg)</t>
  </si>
  <si>
    <t xml:space="preserve">These budgets will be more accurate putting in your own figures.  As a producer you are encouraged to calculate your own costs of production. The assumptions on which the costs are based are outlined in the supporting pages. These assumptions were arrived at using the fish stock, management practices, and facilities seen in modern, well managed aquaculture operations of comparable size in Manitoba. Productivity and performance assumptions are based on information collected by department specialists, feed companies and other organizations. Where individual productivity and performance levels differ from those listed, adjustments will be required. </t>
  </si>
  <si>
    <t xml:space="preserve">The operation, once constructed - requires a ramp-up period of building fish inventory towards reaching a steady-state of production.  The budget includes an assumption that it takes just over 13 months from the first fish stocking to reach steady-state.  Steady-state is defined as the operational state where the system biomass remains at a relatively consistent amount:  Gains in system biomass are made through fish growth and are offset by regular harvesting of market ready fish.  Income and expenses remain relatively stable during steady-state of production.  </t>
  </si>
  <si>
    <t>Wages and benefits</t>
  </si>
  <si>
    <t>Target Market Price/kg</t>
  </si>
  <si>
    <t>Pumps, plumbing and water reconditioning equipment</t>
  </si>
  <si>
    <t>testing and supplies</t>
  </si>
  <si>
    <t xml:space="preserve">It is assumed that fish are marketed as whole fish (100% of fish weight sold).  In the event of processing, % of fish weight sold will decrease as more of the fish is removed and it is generally assumed that a higher target market price would be sought for processed fish.  Any additional costs associated with processing are not included in the model.  </t>
  </si>
  <si>
    <t>Industry Development Specialist - Aquaculture</t>
  </si>
  <si>
    <t>$/sq.ft.</t>
  </si>
  <si>
    <t>The assumed veterinary costs include veterinary consultation, routine testing and fish health supplies but DO NOT include any fish health treatment products as these as uncommonly used in recirculation aquaculture.  Adherence to robust biosecurity protocols is important to help maintain good fish health.</t>
  </si>
  <si>
    <t xml:space="preserve"> kg sold/year</t>
  </si>
  <si>
    <t xml:space="preserve"> /kg sold/year</t>
  </si>
  <si>
    <t xml:space="preserve"> fingerlings/year</t>
  </si>
  <si>
    <t xml:space="preserve"> fingerlings purchased/turnover</t>
  </si>
  <si>
    <t>kwhr/year</t>
  </si>
  <si>
    <t>cubic meters/year</t>
  </si>
  <si>
    <t>Annual Insurance Cost</t>
  </si>
  <si>
    <t xml:space="preserve"> total costs/year</t>
  </si>
  <si>
    <t>total costs/year</t>
  </si>
  <si>
    <t>Cost/Year</t>
  </si>
  <si>
    <t>Sold/Year</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</si>
</sst>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0.0"/>
    <numFmt numFmtId="169" formatCode="#,##0.0"/>
    <numFmt numFmtId="170" formatCode="&quot;$&quot;#,##0.00"/>
    <numFmt numFmtId="171" formatCode="&quot;$&quot;#,##0"/>
    <numFmt numFmtId="172" formatCode="0.0%"/>
    <numFmt numFmtId="173" formatCode="&quot;$&quot;#,##0.000"/>
    <numFmt numFmtId="174" formatCode="#,##0.0_);[Red]\(#,##0.0\)"/>
    <numFmt numFmtId="175" formatCode="_-&quot;£&quot;* #,##0_-;\-&quot;£&quot;* #,##0_-;_-&quot;£&quot;* &quot;-&quot;_-;_-@_-"/>
    <numFmt numFmtId="176" formatCode="_-&quot;£&quot;* #,##0.00_-;\-&quot;£&quot;* #,##0.00_-;_-&quot;£&quot;* &quot;-&quot;??_-;_-@_-"/>
    <numFmt numFmtId="177" formatCode="#,##0.000_);[Red]\(#,##0.000\)"/>
    <numFmt numFmtId="178" formatCode="&quot;$&quot;#,##0.000_);[Red]\(&quot;$&quot;#,##0.000\)"/>
    <numFmt numFmtId="179" formatCode="#,##0.0;[Red]\-#,##0.0"/>
    <numFmt numFmtId="180" formatCode="&quot;$&quot;#,##0.00;[Red]&quot;$&quot;#,##0.00"/>
    <numFmt numFmtId="181" formatCode="#,##0;[Red]#,##0"/>
    <numFmt numFmtId="182" formatCode="#,##0.000;[Red]#,##0.000"/>
    <numFmt numFmtId="183" formatCode="&quot;$&quot;#,##0.000;[Red]&quot;$&quot;#,##0.000"/>
    <numFmt numFmtId="184" formatCode="#,##0.000"/>
    <numFmt numFmtId="185" formatCode="#,##0.00000"/>
    <numFmt numFmtId="186" formatCode="#,##0.0000"/>
    <numFmt numFmtId="187" formatCode="#,##0.00_ ;\-#,##0.00\ "/>
    <numFmt numFmtId="188" formatCode="#,##0_ ;\-#,##0\ "/>
    <numFmt numFmtId="189" formatCode="#,##0.0_ ;\-#,##0.0\ "/>
    <numFmt numFmtId="190" formatCode="0.0%;\(0.0%\)"/>
    <numFmt numFmtId="191" formatCode="0.00%;\(0.00%\)"/>
    <numFmt numFmtId="192" formatCode="&quot;$&quot;#,##0.0000;[Red]&quot;$&quot;#,##0.0000"/>
    <numFmt numFmtId="193" formatCode=";;;"/>
    <numFmt numFmtId="194" formatCode="0.000"/>
    <numFmt numFmtId="195" formatCode="#,##0.000000000"/>
    <numFmt numFmtId="196" formatCode="mmmm/yy"/>
    <numFmt numFmtId="197" formatCode="&quot;$&quot;#,##0.00000"/>
    <numFmt numFmtId="198" formatCode="#,##0_ ;[Red]\-#,##0\ "/>
    <numFmt numFmtId="199" formatCode="&quot;$&quot;#,##0.0000"/>
    <numFmt numFmtId="200" formatCode="0.0000"/>
    <numFmt numFmtId="201" formatCode="#,##0.000_ ;[Red]\-#,##0.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0.0000;[Red]#,##0.0000"/>
    <numFmt numFmtId="208" formatCode="#,##0.00000000"/>
    <numFmt numFmtId="209" formatCode="#,##0.00000000;[Red]#,##0.00000000"/>
    <numFmt numFmtId="210" formatCode="#,##0.0;[Red]#,##0.0"/>
  </numFmts>
  <fonts count="91">
    <font>
      <sz val="12"/>
      <name val="Arial"/>
      <family val="2"/>
    </font>
    <font>
      <sz val="11"/>
      <color indexed="8"/>
      <name val="Calibri"/>
      <family val="2"/>
    </font>
    <font>
      <b/>
      <sz val="12"/>
      <name val="Arial"/>
      <family val="2"/>
    </font>
    <font>
      <u val="single"/>
      <sz val="12"/>
      <name val="Arial"/>
      <family val="2"/>
    </font>
    <font>
      <b/>
      <u val="single"/>
      <sz val="12"/>
      <name val="Arial"/>
      <family val="2"/>
    </font>
    <font>
      <b/>
      <sz val="12"/>
      <color indexed="12"/>
      <name val="Arial"/>
      <family val="2"/>
    </font>
    <font>
      <b/>
      <sz val="14"/>
      <color indexed="18"/>
      <name val="Arial"/>
      <family val="2"/>
    </font>
    <font>
      <b/>
      <sz val="10"/>
      <color indexed="12"/>
      <name val="Arial"/>
      <family val="2"/>
    </font>
    <font>
      <sz val="14"/>
      <color indexed="18"/>
      <name val="Arial"/>
      <family val="2"/>
    </font>
    <font>
      <b/>
      <i/>
      <sz val="12"/>
      <name val="Arial"/>
      <family val="2"/>
    </font>
    <font>
      <i/>
      <sz val="12"/>
      <name val="Arial"/>
      <family val="2"/>
    </font>
    <font>
      <sz val="10"/>
      <name val="Arial"/>
      <family val="2"/>
    </font>
    <font>
      <sz val="10"/>
      <color indexed="12"/>
      <name val="Arial"/>
      <family val="2"/>
    </font>
    <font>
      <vertAlign val="superscript"/>
      <sz val="12"/>
      <name val="Arial"/>
      <family val="2"/>
    </font>
    <font>
      <b/>
      <vertAlign val="superscript"/>
      <sz val="14"/>
      <color indexed="18"/>
      <name val="Arial"/>
      <family val="2"/>
    </font>
    <font>
      <b/>
      <sz val="10"/>
      <name val="Arial"/>
      <family val="2"/>
    </font>
    <font>
      <sz val="14"/>
      <name val="Arial"/>
      <family val="2"/>
    </font>
    <font>
      <b/>
      <sz val="14"/>
      <name val="Arial"/>
      <family val="2"/>
    </font>
    <font>
      <b/>
      <u val="single"/>
      <sz val="12"/>
      <color indexed="12"/>
      <name val="Arial"/>
      <family val="2"/>
    </font>
    <font>
      <sz val="12"/>
      <color indexed="10"/>
      <name val="Arial"/>
      <family val="2"/>
    </font>
    <font>
      <sz val="16"/>
      <color indexed="18"/>
      <name val="Arial"/>
      <family val="2"/>
    </font>
    <font>
      <sz val="16"/>
      <name val="Arial"/>
      <family val="2"/>
    </font>
    <font>
      <b/>
      <sz val="20"/>
      <color indexed="18"/>
      <name val="Arial"/>
      <family val="2"/>
    </font>
    <font>
      <sz val="20"/>
      <name val="Arial"/>
      <family val="2"/>
    </font>
    <font>
      <sz val="11"/>
      <name val="Arial"/>
      <family val="2"/>
    </font>
    <font>
      <b/>
      <sz val="11"/>
      <name val="Arial"/>
      <family val="2"/>
    </font>
    <font>
      <sz val="22"/>
      <name val="Arial"/>
      <family val="2"/>
    </font>
    <font>
      <sz val="8"/>
      <name val="Arial"/>
      <family val="2"/>
    </font>
    <font>
      <sz val="12"/>
      <name val="Arial Unicode MS"/>
      <family val="2"/>
    </font>
    <font>
      <b/>
      <sz val="16"/>
      <color indexed="18"/>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9"/>
      <name val="Arial"/>
      <family val="2"/>
    </font>
    <font>
      <b/>
      <sz val="14"/>
      <color indexed="9"/>
      <name val="Arial"/>
      <family val="2"/>
    </font>
    <font>
      <b/>
      <sz val="12"/>
      <color indexed="8"/>
      <name val="Arial"/>
      <family val="2"/>
    </font>
    <font>
      <b/>
      <sz val="10"/>
      <color indexed="8"/>
      <name val="Arial"/>
      <family val="2"/>
    </font>
    <font>
      <b/>
      <u val="single"/>
      <sz val="11"/>
      <color indexed="12"/>
      <name val="Arial"/>
      <family val="2"/>
    </font>
    <font>
      <sz val="14"/>
      <color indexed="9"/>
      <name val="Arial"/>
      <family val="2"/>
    </font>
    <font>
      <sz val="12"/>
      <color indexed="9"/>
      <name val="Arial"/>
      <family val="2"/>
    </font>
    <font>
      <b/>
      <sz val="12"/>
      <color indexed="9"/>
      <name val="Arial"/>
      <family val="2"/>
    </font>
    <font>
      <b/>
      <sz val="12"/>
      <color indexed="10"/>
      <name val="Arial"/>
      <family val="2"/>
    </font>
    <font>
      <u val="single"/>
      <sz val="14"/>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FF"/>
      <name val="Arial"/>
      <family val="2"/>
    </font>
    <font>
      <sz val="12"/>
      <color rgb="FFFF0000"/>
      <name val="Arial"/>
      <family val="2"/>
    </font>
    <font>
      <b/>
      <sz val="16"/>
      <color theme="0"/>
      <name val="Arial"/>
      <family val="2"/>
    </font>
    <font>
      <b/>
      <sz val="14"/>
      <color theme="0"/>
      <name val="Arial"/>
      <family val="2"/>
    </font>
    <font>
      <b/>
      <sz val="12"/>
      <color theme="1"/>
      <name val="Arial"/>
      <family val="2"/>
    </font>
    <font>
      <b/>
      <sz val="10"/>
      <color theme="1"/>
      <name val="Arial"/>
      <family val="2"/>
    </font>
    <font>
      <b/>
      <u val="single"/>
      <sz val="12"/>
      <color rgb="FF0000FF"/>
      <name val="Arial"/>
      <family val="2"/>
    </font>
    <font>
      <b/>
      <u val="single"/>
      <sz val="12"/>
      <color theme="10"/>
      <name val="Arial"/>
      <family val="2"/>
    </font>
    <font>
      <b/>
      <u val="single"/>
      <sz val="11"/>
      <color rgb="FF0000FF"/>
      <name val="Arial"/>
      <family val="2"/>
    </font>
    <font>
      <sz val="14"/>
      <color theme="0"/>
      <name val="Arial"/>
      <family val="2"/>
    </font>
    <font>
      <sz val="12"/>
      <color theme="0"/>
      <name val="Arial"/>
      <family val="2"/>
    </font>
    <font>
      <b/>
      <sz val="12"/>
      <color theme="0"/>
      <name val="Arial"/>
      <family val="2"/>
    </font>
    <font>
      <b/>
      <sz val="12"/>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0" tint="-0.24993999302387238"/>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86">
    <xf numFmtId="17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lignment/>
      <protection/>
    </xf>
    <xf numFmtId="165" fontId="5" fillId="0" borderId="0">
      <alignment/>
      <protection locked="0"/>
    </xf>
    <xf numFmtId="167" fontId="0" fillId="0" borderId="0">
      <alignment/>
      <protection/>
    </xf>
    <xf numFmtId="167" fontId="5" fillId="0" borderId="0">
      <alignment/>
      <protection locked="0"/>
    </xf>
    <xf numFmtId="38" fontId="0" fillId="0" borderId="0">
      <alignment/>
      <protection/>
    </xf>
    <xf numFmtId="38" fontId="5" fillId="0" borderId="0">
      <alignment/>
      <protection locked="0"/>
    </xf>
    <xf numFmtId="174" fontId="0" fillId="0" borderId="0">
      <alignment/>
      <protection/>
    </xf>
    <xf numFmtId="174" fontId="5" fillId="0" borderId="0">
      <alignment/>
      <protection locked="0"/>
    </xf>
    <xf numFmtId="40" fontId="0" fillId="0" borderId="0">
      <alignment/>
      <protection/>
    </xf>
    <xf numFmtId="40" fontId="5"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1" fillId="0" borderId="0">
      <alignment vertical="top"/>
      <protection/>
    </xf>
    <xf numFmtId="170" fontId="0" fillId="0" borderId="0">
      <alignment vertical="top"/>
      <protection/>
    </xf>
    <xf numFmtId="0" fontId="0" fillId="32" borderId="7" applyNumberFormat="0" applyFont="0" applyAlignment="0" applyProtection="0"/>
    <xf numFmtId="38" fontId="11" fillId="33" borderId="8">
      <alignment/>
      <protection/>
    </xf>
    <xf numFmtId="38" fontId="12" fillId="0" borderId="8">
      <alignment/>
      <protection locked="0"/>
    </xf>
    <xf numFmtId="174" fontId="11" fillId="34" borderId="8">
      <alignment/>
      <protection/>
    </xf>
    <xf numFmtId="174" fontId="12" fillId="0" borderId="8">
      <alignment/>
      <protection locked="0"/>
    </xf>
    <xf numFmtId="40" fontId="11" fillId="34" borderId="8">
      <alignment/>
      <protection/>
    </xf>
    <xf numFmtId="40" fontId="12" fillId="0" borderId="8">
      <alignment/>
      <protection locked="0"/>
    </xf>
    <xf numFmtId="0" fontId="74" fillId="27" borderId="9" applyNumberFormat="0" applyAlignment="0" applyProtection="0"/>
    <xf numFmtId="9" fontId="0" fillId="0" borderId="0" applyFont="0" applyFill="0" applyBorder="0" applyAlignment="0" applyProtection="0"/>
    <xf numFmtId="10" fontId="11" fillId="33" borderId="8">
      <alignment/>
      <protection/>
    </xf>
    <xf numFmtId="10" fontId="12" fillId="35" borderId="8">
      <alignment/>
      <protection locked="0"/>
    </xf>
    <xf numFmtId="0" fontId="11" fillId="36" borderId="0">
      <alignment/>
      <protection/>
    </xf>
    <xf numFmtId="0" fontId="75" fillId="0" borderId="0" applyNumberFormat="0" applyFill="0" applyBorder="0" applyAlignment="0" applyProtection="0"/>
    <xf numFmtId="0" fontId="76" fillId="0" borderId="10" applyNumberFormat="0" applyFill="0" applyAlignment="0" applyProtection="0"/>
    <xf numFmtId="175" fontId="11" fillId="0" borderId="0" applyFont="0" applyFill="0" applyBorder="0" applyAlignment="0" applyProtection="0"/>
    <xf numFmtId="176" fontId="11" fillId="0" borderId="0" applyFont="0" applyFill="0" applyBorder="0" applyAlignment="0" applyProtection="0"/>
    <xf numFmtId="0" fontId="77" fillId="0" borderId="0" applyNumberFormat="0" applyFill="0" applyBorder="0" applyAlignment="0" applyProtection="0"/>
  </cellStyleXfs>
  <cellXfs count="469">
    <xf numFmtId="170" fontId="0" fillId="0" borderId="0" xfId="0" applyAlignment="1">
      <alignment vertical="top"/>
    </xf>
    <xf numFmtId="170" fontId="0" fillId="0" borderId="0" xfId="0" applyAlignment="1" applyProtection="1">
      <alignment vertical="top"/>
      <protection locked="0"/>
    </xf>
    <xf numFmtId="164" fontId="0" fillId="0" borderId="0" xfId="0" applyNumberFormat="1" applyAlignment="1">
      <alignment vertical="top"/>
    </xf>
    <xf numFmtId="3" fontId="0" fillId="0" borderId="0" xfId="0" applyNumberFormat="1" applyAlignment="1">
      <alignment vertical="top"/>
    </xf>
    <xf numFmtId="4" fontId="0" fillId="0" borderId="0" xfId="0" applyNumberFormat="1" applyAlignment="1">
      <alignment vertical="top"/>
    </xf>
    <xf numFmtId="166" fontId="0" fillId="0" borderId="0" xfId="0" applyNumberFormat="1" applyAlignment="1">
      <alignment vertical="top"/>
    </xf>
    <xf numFmtId="3" fontId="0" fillId="0" borderId="0" xfId="0" applyNumberFormat="1" applyAlignment="1" applyProtection="1">
      <alignment vertical="top"/>
      <protection locked="0"/>
    </xf>
    <xf numFmtId="4" fontId="0" fillId="0" borderId="0" xfId="0" applyNumberFormat="1" applyAlignment="1" applyProtection="1">
      <alignment vertical="top"/>
      <protection locked="0"/>
    </xf>
    <xf numFmtId="170" fontId="0" fillId="0" borderId="0" xfId="0" applyAlignment="1">
      <alignment horizontal="right"/>
    </xf>
    <xf numFmtId="170" fontId="2" fillId="0" borderId="0" xfId="0" applyFont="1" applyAlignment="1">
      <alignment vertical="top"/>
    </xf>
    <xf numFmtId="4" fontId="2" fillId="0" borderId="0" xfId="0" applyNumberFormat="1" applyFont="1" applyAlignment="1">
      <alignment vertical="top"/>
    </xf>
    <xf numFmtId="170" fontId="2" fillId="0" borderId="0" xfId="0" applyFont="1" applyBorder="1" applyAlignment="1">
      <alignment horizontal="right"/>
    </xf>
    <xf numFmtId="170" fontId="0" fillId="0" borderId="0" xfId="0" applyFont="1" applyAlignment="1">
      <alignment vertical="top"/>
    </xf>
    <xf numFmtId="3" fontId="0" fillId="0" borderId="0" xfId="0" applyNumberFormat="1" applyFont="1" applyAlignment="1">
      <alignment vertical="top"/>
    </xf>
    <xf numFmtId="4" fontId="0" fillId="0" borderId="0" xfId="0" applyNumberFormat="1" applyFont="1" applyAlignment="1">
      <alignment vertical="top"/>
    </xf>
    <xf numFmtId="170" fontId="0" fillId="0" borderId="0" xfId="0" applyFont="1" applyBorder="1" applyAlignment="1">
      <alignment vertical="top"/>
    </xf>
    <xf numFmtId="170" fontId="0" fillId="0" borderId="11" xfId="0" applyFont="1" applyBorder="1" applyAlignment="1">
      <alignment vertical="top"/>
    </xf>
    <xf numFmtId="4" fontId="3" fillId="0" borderId="0" xfId="0" applyNumberFormat="1" applyFont="1" applyBorder="1" applyAlignment="1">
      <alignment vertical="top"/>
    </xf>
    <xf numFmtId="170" fontId="0" fillId="0" borderId="0" xfId="0" applyNumberFormat="1" applyFont="1" applyAlignment="1">
      <alignment vertical="top"/>
    </xf>
    <xf numFmtId="171" fontId="0" fillId="0" borderId="0" xfId="0" applyNumberFormat="1" applyFont="1" applyAlignment="1">
      <alignment vertical="top"/>
    </xf>
    <xf numFmtId="170" fontId="2" fillId="0" borderId="0" xfId="0" applyFont="1" applyAlignment="1">
      <alignment horizontal="right" vertical="top"/>
    </xf>
    <xf numFmtId="3" fontId="0" fillId="0" borderId="11" xfId="0" applyNumberFormat="1" applyFont="1" applyFill="1" applyBorder="1" applyAlignment="1">
      <alignment vertical="top"/>
    </xf>
    <xf numFmtId="3" fontId="0" fillId="0" borderId="12" xfId="0" applyNumberFormat="1" applyFont="1" applyFill="1" applyBorder="1" applyAlignment="1">
      <alignment vertical="top"/>
    </xf>
    <xf numFmtId="170" fontId="0" fillId="0" borderId="0" xfId="0" applyAlignment="1">
      <alignment vertical="top" wrapText="1"/>
    </xf>
    <xf numFmtId="0" fontId="6" fillId="0" borderId="0" xfId="0" applyNumberFormat="1" applyFont="1" applyBorder="1" applyAlignment="1">
      <alignment horizontal="left"/>
    </xf>
    <xf numFmtId="170" fontId="0" fillId="0" borderId="0" xfId="0" applyAlignment="1">
      <alignment vertical="top"/>
    </xf>
    <xf numFmtId="3" fontId="0" fillId="0" borderId="13" xfId="0" applyNumberFormat="1" applyFont="1" applyFill="1" applyBorder="1" applyAlignment="1">
      <alignment vertical="top"/>
    </xf>
    <xf numFmtId="3" fontId="0" fillId="0" borderId="0" xfId="0" applyNumberFormat="1" applyFont="1" applyFill="1" applyBorder="1" applyAlignment="1">
      <alignment vertical="top"/>
    </xf>
    <xf numFmtId="170" fontId="0" fillId="0" borderId="0" xfId="0" applyNumberFormat="1" applyFont="1" applyBorder="1" applyAlignment="1">
      <alignment vertical="top"/>
    </xf>
    <xf numFmtId="171" fontId="0" fillId="0" borderId="0" xfId="0" applyNumberFormat="1" applyFont="1" applyBorder="1" applyAlignment="1">
      <alignment vertical="top"/>
    </xf>
    <xf numFmtId="167" fontId="0" fillId="0" borderId="0" xfId="46">
      <alignment/>
      <protection/>
    </xf>
    <xf numFmtId="167" fontId="2" fillId="0" borderId="0" xfId="46" applyFont="1">
      <alignment/>
      <protection/>
    </xf>
    <xf numFmtId="38" fontId="0" fillId="0" borderId="0" xfId="48">
      <alignment/>
      <protection/>
    </xf>
    <xf numFmtId="170" fontId="0" fillId="0" borderId="0" xfId="0" applyFont="1" applyAlignment="1" applyProtection="1">
      <alignment vertical="top"/>
      <protection/>
    </xf>
    <xf numFmtId="170" fontId="0" fillId="0" borderId="0" xfId="0" applyFont="1" applyBorder="1" applyAlignment="1" applyProtection="1">
      <alignment vertical="top"/>
      <protection/>
    </xf>
    <xf numFmtId="170" fontId="4" fillId="0" borderId="0" xfId="0" applyFont="1" applyAlignment="1" applyProtection="1">
      <alignment horizontal="right"/>
      <protection/>
    </xf>
    <xf numFmtId="170" fontId="2" fillId="0" borderId="0" xfId="0" applyFont="1" applyAlignment="1" applyProtection="1">
      <alignment vertical="top"/>
      <protection/>
    </xf>
    <xf numFmtId="4" fontId="2" fillId="0" borderId="0" xfId="0" applyNumberFormat="1" applyFont="1" applyAlignment="1" applyProtection="1">
      <alignment vertical="top"/>
      <protection/>
    </xf>
    <xf numFmtId="170" fontId="0" fillId="0" borderId="11" xfId="0" applyFont="1" applyBorder="1" applyAlignment="1" applyProtection="1">
      <alignment vertical="top"/>
      <protection/>
    </xf>
    <xf numFmtId="170" fontId="0" fillId="0" borderId="12" xfId="0" applyFont="1" applyBorder="1" applyAlignment="1" applyProtection="1">
      <alignment vertical="top"/>
      <protection/>
    </xf>
    <xf numFmtId="170" fontId="3" fillId="0" borderId="0" xfId="0" applyFont="1" applyAlignment="1" applyProtection="1">
      <alignment vertical="top"/>
      <protection/>
    </xf>
    <xf numFmtId="171" fontId="0" fillId="0" borderId="0" xfId="0" applyNumberFormat="1" applyFont="1" applyAlignment="1" applyProtection="1">
      <alignment vertical="top"/>
      <protection/>
    </xf>
    <xf numFmtId="166" fontId="0" fillId="0" borderId="0" xfId="0" applyNumberFormat="1" applyFont="1" applyAlignment="1" applyProtection="1">
      <alignment horizontal="left"/>
      <protection/>
    </xf>
    <xf numFmtId="170" fontId="9" fillId="0" borderId="0" xfId="0" applyFont="1" applyBorder="1" applyAlignment="1" applyProtection="1">
      <alignment vertical="top"/>
      <protection/>
    </xf>
    <xf numFmtId="170" fontId="9" fillId="0" borderId="0" xfId="0" applyFont="1" applyAlignment="1" applyProtection="1">
      <alignment vertical="top"/>
      <protection/>
    </xf>
    <xf numFmtId="170" fontId="0" fillId="0" borderId="13" xfId="0" applyFont="1" applyBorder="1" applyAlignment="1" applyProtection="1">
      <alignment vertical="top"/>
      <protection/>
    </xf>
    <xf numFmtId="170" fontId="2" fillId="0" borderId="0" xfId="0" applyFont="1" applyBorder="1" applyAlignment="1" applyProtection="1">
      <alignment vertical="top"/>
      <protection/>
    </xf>
    <xf numFmtId="170" fontId="10" fillId="0" borderId="0" xfId="0" applyFont="1" applyAlignment="1" applyProtection="1">
      <alignment vertical="top"/>
      <protection/>
    </xf>
    <xf numFmtId="168" fontId="0" fillId="0" borderId="0" xfId="0" applyNumberFormat="1" applyFont="1" applyAlignment="1" applyProtection="1">
      <alignment horizontal="right" vertical="top"/>
      <protection/>
    </xf>
    <xf numFmtId="170" fontId="0" fillId="0" borderId="0" xfId="0" applyAlignment="1" applyProtection="1">
      <alignment vertical="top"/>
      <protection/>
    </xf>
    <xf numFmtId="170" fontId="0" fillId="0" borderId="0" xfId="0" applyFont="1" applyAlignment="1" applyProtection="1">
      <alignment vertical="top"/>
      <protection/>
    </xf>
    <xf numFmtId="170" fontId="0" fillId="0" borderId="0" xfId="0" applyFont="1" applyAlignment="1" applyProtection="1" quotePrefix="1">
      <alignment vertical="top"/>
      <protection/>
    </xf>
    <xf numFmtId="170" fontId="0" fillId="0" borderId="0" xfId="0" applyFont="1" applyBorder="1" applyAlignment="1" applyProtection="1">
      <alignment vertical="top"/>
      <protection/>
    </xf>
    <xf numFmtId="170" fontId="2" fillId="0" borderId="0" xfId="0" applyFont="1" applyBorder="1" applyAlignment="1" applyProtection="1">
      <alignment horizontal="center"/>
      <protection/>
    </xf>
    <xf numFmtId="170" fontId="0" fillId="0" borderId="0" xfId="0" applyFont="1" applyFill="1" applyBorder="1" applyAlignment="1" applyProtection="1">
      <alignment vertical="top"/>
      <protection/>
    </xf>
    <xf numFmtId="166" fontId="5" fillId="0" borderId="0" xfId="0" applyNumberFormat="1" applyFont="1" applyFill="1" applyBorder="1" applyAlignment="1" applyProtection="1">
      <alignment vertical="top"/>
      <protection/>
    </xf>
    <xf numFmtId="1" fontId="5" fillId="0" borderId="0" xfId="0" applyNumberFormat="1" applyFont="1" applyAlignment="1" applyProtection="1">
      <alignment vertical="top"/>
      <protection/>
    </xf>
    <xf numFmtId="1" fontId="2" fillId="0" borderId="0" xfId="0" applyNumberFormat="1" applyFont="1" applyAlignment="1" applyProtection="1">
      <alignment vertical="top"/>
      <protection/>
    </xf>
    <xf numFmtId="170" fontId="2" fillId="0" borderId="0" xfId="0" applyFont="1" applyFill="1" applyAlignment="1" applyProtection="1">
      <alignment vertical="top"/>
      <protection/>
    </xf>
    <xf numFmtId="170" fontId="0" fillId="0" borderId="0" xfId="0" applyFont="1" applyFill="1" applyAlignment="1" applyProtection="1">
      <alignment vertical="top"/>
      <protection/>
    </xf>
    <xf numFmtId="164" fontId="0" fillId="0" borderId="0" xfId="0" applyNumberFormat="1" applyFont="1" applyAlignment="1" applyProtection="1">
      <alignment vertical="top"/>
      <protection/>
    </xf>
    <xf numFmtId="170" fontId="0" fillId="0" borderId="11" xfId="0" applyFont="1" applyFill="1" applyBorder="1" applyAlignment="1" applyProtection="1">
      <alignment vertical="top"/>
      <protection/>
    </xf>
    <xf numFmtId="171" fontId="0" fillId="0" borderId="0" xfId="0" applyNumberFormat="1" applyFont="1" applyAlignment="1" applyProtection="1">
      <alignment vertical="top"/>
      <protection/>
    </xf>
    <xf numFmtId="166" fontId="0" fillId="0" borderId="0" xfId="0" applyNumberFormat="1" applyFont="1" applyAlignment="1" applyProtection="1">
      <alignment vertical="top"/>
      <protection/>
    </xf>
    <xf numFmtId="170" fontId="0" fillId="0" borderId="12" xfId="0" applyFont="1" applyFill="1" applyBorder="1" applyAlignment="1" applyProtection="1">
      <alignment vertical="top"/>
      <protection/>
    </xf>
    <xf numFmtId="170" fontId="0" fillId="0" borderId="12" xfId="0" applyFont="1" applyFill="1" applyBorder="1" applyAlignment="1" applyProtection="1">
      <alignment vertical="top"/>
      <protection/>
    </xf>
    <xf numFmtId="170" fontId="0" fillId="0" borderId="11" xfId="0" applyFont="1" applyFill="1" applyBorder="1" applyAlignment="1" applyProtection="1">
      <alignment vertical="top"/>
      <protection/>
    </xf>
    <xf numFmtId="166" fontId="0" fillId="0" borderId="0" xfId="0" applyNumberFormat="1" applyFont="1" applyAlignment="1" applyProtection="1">
      <alignment vertical="top"/>
      <protection/>
    </xf>
    <xf numFmtId="171" fontId="2" fillId="0" borderId="0" xfId="0" applyNumberFormat="1" applyFont="1" applyFill="1" applyBorder="1" applyAlignment="1" applyProtection="1">
      <alignment vertical="top"/>
      <protection/>
    </xf>
    <xf numFmtId="171" fontId="5" fillId="0" borderId="0" xfId="0" applyNumberFormat="1" applyFont="1" applyFill="1" applyBorder="1" applyAlignment="1" applyProtection="1">
      <alignment vertical="top"/>
      <protection/>
    </xf>
    <xf numFmtId="49" fontId="4" fillId="0" borderId="0" xfId="0" applyNumberFormat="1" applyFont="1" applyBorder="1" applyAlignment="1" applyProtection="1">
      <alignment horizontal="right"/>
      <protection/>
    </xf>
    <xf numFmtId="1" fontId="5" fillId="0" borderId="0" xfId="0" applyNumberFormat="1" applyFont="1" applyFill="1" applyBorder="1" applyAlignment="1" applyProtection="1">
      <alignment vertical="top"/>
      <protection/>
    </xf>
    <xf numFmtId="1" fontId="0" fillId="0" borderId="0" xfId="0" applyNumberFormat="1" applyFont="1" applyAlignment="1" applyProtection="1">
      <alignment vertical="top"/>
      <protection/>
    </xf>
    <xf numFmtId="171" fontId="3" fillId="0" borderId="0" xfId="0" applyNumberFormat="1" applyFont="1" applyBorder="1" applyAlignment="1" applyProtection="1">
      <alignment vertical="top"/>
      <protection/>
    </xf>
    <xf numFmtId="4" fontId="0" fillId="0" borderId="0" xfId="0" applyNumberFormat="1" applyFont="1" applyAlignment="1" applyProtection="1">
      <alignment vertical="top"/>
      <protection/>
    </xf>
    <xf numFmtId="170" fontId="2" fillId="0" borderId="0" xfId="0" applyFont="1" applyBorder="1" applyAlignment="1" applyProtection="1">
      <alignment horizontal="right"/>
      <protection/>
    </xf>
    <xf numFmtId="170" fontId="6" fillId="0" borderId="0" xfId="0" applyFont="1" applyAlignment="1" applyProtection="1">
      <alignment horizontal="center"/>
      <protection/>
    </xf>
    <xf numFmtId="170" fontId="2" fillId="0" borderId="11" xfId="0" applyFont="1" applyBorder="1" applyAlignment="1" applyProtection="1">
      <alignment horizontal="right" vertical="top"/>
      <protection/>
    </xf>
    <xf numFmtId="170" fontId="4" fillId="0" borderId="0" xfId="0" applyFont="1" applyBorder="1" applyAlignment="1" applyProtection="1">
      <alignment vertical="top"/>
      <protection/>
    </xf>
    <xf numFmtId="170" fontId="4" fillId="0" borderId="0" xfId="0" applyFont="1" applyBorder="1" applyAlignment="1" applyProtection="1">
      <alignment horizontal="left" vertical="top"/>
      <protection/>
    </xf>
    <xf numFmtId="3" fontId="2" fillId="0" borderId="0" xfId="0" applyNumberFormat="1" applyFont="1" applyAlignment="1" applyProtection="1">
      <alignment horizontal="left" vertical="top"/>
      <protection/>
    </xf>
    <xf numFmtId="170" fontId="0" fillId="0" borderId="0" xfId="0" applyFill="1" applyAlignment="1" applyProtection="1">
      <alignment vertical="top"/>
      <protection/>
    </xf>
    <xf numFmtId="170" fontId="0" fillId="0" borderId="0" xfId="0" applyFont="1" applyFill="1" applyBorder="1" applyAlignment="1" applyProtection="1">
      <alignment vertical="top"/>
      <protection/>
    </xf>
    <xf numFmtId="170" fontId="0" fillId="0" borderId="0" xfId="0" applyFont="1" applyFill="1" applyAlignment="1">
      <alignment vertical="top"/>
    </xf>
    <xf numFmtId="170" fontId="0" fillId="0" borderId="0" xfId="46" applyNumberFormat="1">
      <alignment/>
      <protection/>
    </xf>
    <xf numFmtId="170" fontId="4" fillId="0" borderId="0" xfId="0" applyFont="1" applyBorder="1" applyAlignment="1" applyProtection="1">
      <alignment horizontal="center"/>
      <protection/>
    </xf>
    <xf numFmtId="170" fontId="4" fillId="0" borderId="0" xfId="0" applyFont="1" applyBorder="1" applyAlignment="1" applyProtection="1">
      <alignment horizontal="right"/>
      <protection/>
    </xf>
    <xf numFmtId="170" fontId="0" fillId="0" borderId="0" xfId="52" applyNumberFormat="1">
      <alignment/>
      <protection/>
    </xf>
    <xf numFmtId="171" fontId="0" fillId="0" borderId="0" xfId="48" applyNumberFormat="1">
      <alignment/>
      <protection/>
    </xf>
    <xf numFmtId="170" fontId="15" fillId="0" borderId="0" xfId="0" applyFont="1" applyAlignment="1" applyProtection="1">
      <alignment vertical="top"/>
      <protection/>
    </xf>
    <xf numFmtId="1" fontId="0" fillId="0" borderId="0" xfId="44" applyNumberFormat="1">
      <alignment/>
      <protection/>
    </xf>
    <xf numFmtId="170" fontId="2" fillId="0" borderId="0" xfId="46" applyNumberFormat="1" applyFont="1">
      <alignment/>
      <protection/>
    </xf>
    <xf numFmtId="171" fontId="2" fillId="0" borderId="0" xfId="44" applyNumberFormat="1" applyFont="1">
      <alignment/>
      <protection/>
    </xf>
    <xf numFmtId="171" fontId="2" fillId="0" borderId="0" xfId="0" applyNumberFormat="1" applyFont="1" applyAlignment="1" applyProtection="1">
      <alignment vertical="top"/>
      <protection/>
    </xf>
    <xf numFmtId="3" fontId="2" fillId="0" borderId="0" xfId="0" applyNumberFormat="1" applyFont="1" applyAlignment="1" applyProtection="1" quotePrefix="1">
      <alignment horizontal="center" vertical="top"/>
      <protection/>
    </xf>
    <xf numFmtId="170" fontId="4" fillId="0" borderId="0" xfId="46" applyNumberFormat="1" applyFont="1" applyBorder="1">
      <alignment/>
      <protection/>
    </xf>
    <xf numFmtId="171" fontId="4" fillId="0" borderId="0" xfId="44" applyNumberFormat="1" applyFont="1" applyBorder="1">
      <alignment/>
      <protection/>
    </xf>
    <xf numFmtId="170" fontId="4" fillId="0" borderId="0" xfId="0" applyFont="1" applyBorder="1" applyAlignment="1">
      <alignment horizontal="right"/>
    </xf>
    <xf numFmtId="170" fontId="4" fillId="0" borderId="0" xfId="0" applyFont="1" applyBorder="1" applyAlignment="1">
      <alignment horizontal="center"/>
    </xf>
    <xf numFmtId="3" fontId="0" fillId="0" borderId="0" xfId="48" applyNumberFormat="1">
      <alignment/>
      <protection/>
    </xf>
    <xf numFmtId="3" fontId="3" fillId="0" borderId="0" xfId="48" applyNumberFormat="1" applyFont="1" applyBorder="1">
      <alignment/>
      <protection/>
    </xf>
    <xf numFmtId="171" fontId="0" fillId="0" borderId="0" xfId="44" applyNumberFormat="1">
      <alignment/>
      <protection/>
    </xf>
    <xf numFmtId="170" fontId="0" fillId="0" borderId="0" xfId="46" applyNumberFormat="1" applyFont="1">
      <alignment/>
      <protection/>
    </xf>
    <xf numFmtId="4" fontId="2" fillId="0" borderId="0" xfId="46" applyNumberFormat="1" applyFont="1">
      <alignment/>
      <protection/>
    </xf>
    <xf numFmtId="17" fontId="2" fillId="0" borderId="0" xfId="0" applyNumberFormat="1" applyFont="1" applyAlignment="1">
      <alignment horizontal="left" vertical="top"/>
    </xf>
    <xf numFmtId="179" fontId="0" fillId="0" borderId="0" xfId="52" applyNumberFormat="1">
      <alignment/>
      <protection/>
    </xf>
    <xf numFmtId="170" fontId="4" fillId="0" borderId="0" xfId="0" applyFont="1" applyBorder="1" applyAlignment="1" applyProtection="1">
      <alignment horizontal="center" vertical="top"/>
      <protection/>
    </xf>
    <xf numFmtId="171" fontId="3" fillId="0" borderId="0" xfId="48" applyNumberFormat="1" applyFont="1" applyBorder="1">
      <alignment/>
      <protection/>
    </xf>
    <xf numFmtId="170" fontId="3" fillId="0" borderId="0" xfId="52" applyNumberFormat="1" applyFont="1">
      <alignment/>
      <protection/>
    </xf>
    <xf numFmtId="171" fontId="3" fillId="0" borderId="0" xfId="48" applyNumberFormat="1" applyFont="1">
      <alignment/>
      <protection/>
    </xf>
    <xf numFmtId="170" fontId="19" fillId="0" borderId="0" xfId="0" applyFont="1" applyAlignment="1" applyProtection="1">
      <alignment vertical="top"/>
      <protection/>
    </xf>
    <xf numFmtId="2" fontId="0" fillId="0" borderId="0" xfId="50" applyNumberFormat="1">
      <alignment/>
      <protection/>
    </xf>
    <xf numFmtId="167" fontId="5" fillId="0" borderId="0" xfId="47" applyProtection="1">
      <alignment/>
      <protection/>
    </xf>
    <xf numFmtId="167" fontId="0" fillId="0" borderId="0" xfId="46" applyProtection="1">
      <alignment/>
      <protection/>
    </xf>
    <xf numFmtId="38" fontId="5" fillId="0" borderId="0" xfId="49" applyProtection="1">
      <alignment/>
      <protection/>
    </xf>
    <xf numFmtId="38" fontId="0" fillId="0" borderId="0" xfId="48" applyProtection="1">
      <alignment/>
      <protection/>
    </xf>
    <xf numFmtId="40" fontId="0" fillId="0" borderId="0" xfId="52" applyProtection="1">
      <alignment/>
      <protection/>
    </xf>
    <xf numFmtId="170" fontId="8" fillId="0" borderId="0" xfId="0" applyFont="1" applyAlignment="1" applyProtection="1">
      <alignment horizontal="center"/>
      <protection/>
    </xf>
    <xf numFmtId="167" fontId="3" fillId="0" borderId="0" xfId="46" applyFont="1" applyBorder="1" applyProtection="1">
      <alignment/>
      <protection/>
    </xf>
    <xf numFmtId="167" fontId="3" fillId="0" borderId="0" xfId="46" applyFont="1" applyProtection="1">
      <alignment/>
      <protection/>
    </xf>
    <xf numFmtId="165" fontId="2" fillId="0" borderId="0" xfId="44" applyFont="1" applyProtection="1">
      <alignment/>
      <protection/>
    </xf>
    <xf numFmtId="167" fontId="2" fillId="0" borderId="0" xfId="46" applyFont="1" applyProtection="1">
      <alignment/>
      <protection/>
    </xf>
    <xf numFmtId="165" fontId="4" fillId="0" borderId="0" xfId="44" applyFont="1" applyBorder="1" applyProtection="1">
      <alignment/>
      <protection/>
    </xf>
    <xf numFmtId="167" fontId="4" fillId="0" borderId="0" xfId="46" applyFont="1" applyBorder="1" applyProtection="1">
      <alignment/>
      <protection/>
    </xf>
    <xf numFmtId="167" fontId="4" fillId="0" borderId="0" xfId="46" applyFont="1" applyProtection="1">
      <alignment/>
      <protection/>
    </xf>
    <xf numFmtId="165" fontId="5" fillId="0" borderId="0" xfId="45" applyProtection="1">
      <alignment/>
      <protection/>
    </xf>
    <xf numFmtId="167" fontId="5" fillId="0" borderId="0" xfId="47" applyProtection="1">
      <alignment/>
      <protection locked="0"/>
    </xf>
    <xf numFmtId="3" fontId="5" fillId="0" borderId="0" xfId="0" applyNumberFormat="1" applyFont="1" applyAlignment="1" applyProtection="1">
      <alignment horizontal="right"/>
      <protection locked="0"/>
    </xf>
    <xf numFmtId="38" fontId="5" fillId="0" borderId="0" xfId="49" applyProtection="1">
      <alignment/>
      <protection locked="0"/>
    </xf>
    <xf numFmtId="174" fontId="5" fillId="0" borderId="0" xfId="51" applyProtection="1">
      <alignment/>
      <protection locked="0"/>
    </xf>
    <xf numFmtId="40" fontId="5" fillId="0" borderId="0" xfId="53" applyProtection="1">
      <alignment/>
      <protection locked="0"/>
    </xf>
    <xf numFmtId="165" fontId="5" fillId="0" borderId="0" xfId="45" applyProtection="1">
      <alignment/>
      <protection locked="0"/>
    </xf>
    <xf numFmtId="4" fontId="0" fillId="0" borderId="0" xfId="52" applyNumberFormat="1">
      <alignment/>
      <protection/>
    </xf>
    <xf numFmtId="3" fontId="3" fillId="0" borderId="0" xfId="48" applyNumberFormat="1" applyFont="1">
      <alignment/>
      <protection/>
    </xf>
    <xf numFmtId="170" fontId="4" fillId="0" borderId="0" xfId="0" applyFont="1" applyAlignment="1">
      <alignment horizontal="center" vertical="top"/>
    </xf>
    <xf numFmtId="170" fontId="0" fillId="0" borderId="0" xfId="0" applyFont="1" applyFill="1" applyBorder="1" applyAlignment="1" applyProtection="1">
      <alignment vertical="top"/>
      <protection/>
    </xf>
    <xf numFmtId="170" fontId="0" fillId="0" borderId="0" xfId="0" applyFill="1" applyAlignment="1">
      <alignment vertical="top"/>
    </xf>
    <xf numFmtId="170" fontId="4" fillId="0" borderId="0" xfId="0" applyFont="1" applyBorder="1" applyAlignment="1" applyProtection="1">
      <alignment/>
      <protection/>
    </xf>
    <xf numFmtId="170" fontId="2" fillId="0" borderId="0" xfId="0" applyFont="1" applyBorder="1" applyAlignment="1" applyProtection="1">
      <alignment/>
      <protection/>
    </xf>
    <xf numFmtId="170" fontId="0" fillId="0" borderId="0" xfId="0" applyFill="1" applyBorder="1" applyAlignment="1" applyProtection="1">
      <alignment vertical="top"/>
      <protection/>
    </xf>
    <xf numFmtId="170" fontId="2" fillId="0" borderId="0" xfId="0" applyFont="1" applyBorder="1" applyAlignment="1">
      <alignment vertical="top"/>
    </xf>
    <xf numFmtId="170" fontId="0" fillId="0" borderId="0" xfId="0" applyBorder="1" applyAlignment="1">
      <alignment vertical="top"/>
    </xf>
    <xf numFmtId="170" fontId="2" fillId="0" borderId="0" xfId="46" applyNumberFormat="1" applyFont="1" applyBorder="1">
      <alignment/>
      <protection/>
    </xf>
    <xf numFmtId="171" fontId="2" fillId="0" borderId="0" xfId="44" applyNumberFormat="1" applyFont="1" applyBorder="1">
      <alignment/>
      <protection/>
    </xf>
    <xf numFmtId="4" fontId="0" fillId="0" borderId="0" xfId="0" applyNumberFormat="1" applyFont="1" applyBorder="1" applyAlignment="1">
      <alignment vertical="top"/>
    </xf>
    <xf numFmtId="170" fontId="0" fillId="0" borderId="0" xfId="0" applyFont="1" applyFill="1" applyAlignment="1" applyProtection="1">
      <alignment vertical="top"/>
      <protection/>
    </xf>
    <xf numFmtId="3" fontId="2" fillId="0" borderId="0" xfId="0" applyNumberFormat="1" applyFont="1" applyBorder="1" applyAlignment="1" applyProtection="1">
      <alignment/>
      <protection/>
    </xf>
    <xf numFmtId="3" fontId="16" fillId="0" borderId="0" xfId="0" applyNumberFormat="1" applyFont="1" applyAlignment="1">
      <alignment/>
    </xf>
    <xf numFmtId="3" fontId="0" fillId="0" borderId="0" xfId="0" applyNumberFormat="1" applyFont="1" applyBorder="1" applyAlignment="1" applyProtection="1">
      <alignment/>
      <protection/>
    </xf>
    <xf numFmtId="166" fontId="4" fillId="0" borderId="0" xfId="0" applyNumberFormat="1" applyFont="1" applyBorder="1" applyAlignment="1" applyProtection="1">
      <alignment horizontal="right"/>
      <protection/>
    </xf>
    <xf numFmtId="166" fontId="2" fillId="0" borderId="0" xfId="0" applyNumberFormat="1" applyFont="1" applyBorder="1" applyAlignment="1" applyProtection="1">
      <alignment horizontal="right"/>
      <protection/>
    </xf>
    <xf numFmtId="3" fontId="0" fillId="0" borderId="0" xfId="0" applyNumberFormat="1" applyFont="1" applyAlignment="1" applyProtection="1">
      <alignment/>
      <protection/>
    </xf>
    <xf numFmtId="170" fontId="2" fillId="0" borderId="0" xfId="0" applyNumberFormat="1" applyFont="1" applyBorder="1" applyAlignment="1" applyProtection="1">
      <alignment/>
      <protection/>
    </xf>
    <xf numFmtId="3" fontId="2" fillId="0" borderId="0" xfId="0" applyNumberFormat="1" applyFont="1" applyAlignment="1">
      <alignment/>
    </xf>
    <xf numFmtId="3" fontId="2" fillId="0" borderId="0" xfId="0" applyNumberFormat="1" applyFont="1" applyAlignment="1" applyProtection="1">
      <alignment/>
      <protection/>
    </xf>
    <xf numFmtId="166" fontId="2" fillId="0" borderId="0" xfId="0" applyNumberFormat="1" applyFont="1" applyBorder="1" applyAlignment="1" applyProtection="1">
      <alignment/>
      <protection/>
    </xf>
    <xf numFmtId="3" fontId="0" fillId="0" borderId="0" xfId="0" applyNumberFormat="1" applyBorder="1" applyAlignment="1" applyProtection="1">
      <alignment/>
      <protection/>
    </xf>
    <xf numFmtId="170" fontId="0" fillId="0" borderId="0" xfId="0" applyFont="1" applyAlignment="1" applyProtection="1">
      <alignment horizontal="center"/>
      <protection/>
    </xf>
    <xf numFmtId="3" fontId="0" fillId="0" borderId="0" xfId="0" applyNumberFormat="1" applyAlignment="1" applyProtection="1">
      <alignment/>
      <protection/>
    </xf>
    <xf numFmtId="171" fontId="2" fillId="0" borderId="0" xfId="48" applyNumberFormat="1" applyFont="1">
      <alignment/>
      <protection/>
    </xf>
    <xf numFmtId="164" fontId="2" fillId="0" borderId="0" xfId="48" applyNumberFormat="1" applyFont="1">
      <alignment/>
      <protection/>
    </xf>
    <xf numFmtId="170" fontId="0" fillId="0" borderId="0" xfId="0" applyFont="1" applyAlignment="1" applyProtection="1">
      <alignment vertical="top"/>
      <protection/>
    </xf>
    <xf numFmtId="170" fontId="0" fillId="0" borderId="0" xfId="0" applyAlignment="1" applyProtection="1">
      <alignment horizontal="right" vertical="top"/>
      <protection/>
    </xf>
    <xf numFmtId="181" fontId="5" fillId="0" borderId="0" xfId="45" applyNumberFormat="1" applyProtection="1">
      <alignment/>
      <protection locked="0"/>
    </xf>
    <xf numFmtId="183" fontId="5" fillId="0" borderId="0" xfId="45" applyNumberFormat="1" applyProtection="1">
      <alignment/>
      <protection locked="0"/>
    </xf>
    <xf numFmtId="170" fontId="0" fillId="0" borderId="13" xfId="0" applyFont="1" applyBorder="1" applyAlignment="1" applyProtection="1">
      <alignment vertical="top"/>
      <protection/>
    </xf>
    <xf numFmtId="170" fontId="0" fillId="0" borderId="11" xfId="0" applyFont="1" applyBorder="1" applyAlignment="1" applyProtection="1">
      <alignment vertical="top"/>
      <protection/>
    </xf>
    <xf numFmtId="4" fontId="0" fillId="0" borderId="0" xfId="46" applyNumberFormat="1" applyFont="1">
      <alignment/>
      <protection/>
    </xf>
    <xf numFmtId="170" fontId="0" fillId="0" borderId="0" xfId="44" applyNumberFormat="1">
      <alignment/>
      <protection/>
    </xf>
    <xf numFmtId="3" fontId="0" fillId="0" borderId="0" xfId="44" applyNumberFormat="1">
      <alignment/>
      <protection/>
    </xf>
    <xf numFmtId="170" fontId="3" fillId="0" borderId="0" xfId="52" applyNumberFormat="1" applyFont="1" applyFill="1">
      <alignment/>
      <protection/>
    </xf>
    <xf numFmtId="167" fontId="0" fillId="0" borderId="0" xfId="46" applyFill="1">
      <alignment/>
      <protection/>
    </xf>
    <xf numFmtId="170" fontId="0" fillId="0" borderId="0" xfId="68" applyFont="1" applyAlignment="1">
      <alignment vertical="top" wrapText="1"/>
      <protection/>
    </xf>
    <xf numFmtId="0" fontId="2" fillId="0" borderId="0" xfId="67" applyFont="1" applyFill="1" applyAlignment="1" applyProtection="1">
      <alignment/>
      <protection/>
    </xf>
    <xf numFmtId="3" fontId="2" fillId="0" borderId="0" xfId="67" applyNumberFormat="1" applyFont="1" applyAlignment="1" applyProtection="1">
      <alignment/>
      <protection/>
    </xf>
    <xf numFmtId="0" fontId="0" fillId="0" borderId="0" xfId="67" applyFont="1" applyAlignment="1">
      <alignment/>
      <protection/>
    </xf>
    <xf numFmtId="7" fontId="0" fillId="0" borderId="0" xfId="67" applyNumberFormat="1" applyFont="1" applyAlignment="1">
      <alignment/>
      <protection/>
    </xf>
    <xf numFmtId="0" fontId="2" fillId="0" borderId="0" xfId="67" applyFont="1" applyAlignment="1" applyProtection="1">
      <alignment/>
      <protection/>
    </xf>
    <xf numFmtId="0" fontId="16" fillId="0" borderId="0" xfId="67" applyFont="1" applyAlignment="1">
      <alignment/>
      <protection/>
    </xf>
    <xf numFmtId="7" fontId="78" fillId="0" borderId="0" xfId="67" applyNumberFormat="1" applyFont="1" applyFill="1" applyAlignment="1" applyProtection="1">
      <alignment/>
      <protection/>
    </xf>
    <xf numFmtId="0" fontId="0" fillId="0" borderId="0" xfId="67" applyFont="1" applyFill="1" applyAlignment="1" applyProtection="1">
      <alignment/>
      <protection/>
    </xf>
    <xf numFmtId="188" fontId="0" fillId="0" borderId="0" xfId="67" applyNumberFormat="1" applyFont="1" applyFill="1" applyAlignment="1" applyProtection="1">
      <alignment horizontal="right"/>
      <protection/>
    </xf>
    <xf numFmtId="0" fontId="0" fillId="0" borderId="0" xfId="67" applyFont="1" applyAlignment="1" applyProtection="1">
      <alignment/>
      <protection/>
    </xf>
    <xf numFmtId="0" fontId="2" fillId="0" borderId="0" xfId="67" applyFont="1" applyAlignment="1">
      <alignment/>
      <protection/>
    </xf>
    <xf numFmtId="9" fontId="78" fillId="0" borderId="0" xfId="67" applyNumberFormat="1" applyFont="1" applyBorder="1" applyAlignment="1">
      <alignment horizontal="center"/>
      <protection/>
    </xf>
    <xf numFmtId="170" fontId="0" fillId="0" borderId="0" xfId="67" applyNumberFormat="1" applyFont="1" applyFill="1" applyAlignment="1" applyProtection="1">
      <alignment/>
      <protection/>
    </xf>
    <xf numFmtId="0" fontId="17" fillId="0" borderId="0" xfId="67" applyFont="1" applyFill="1" applyAlignment="1" applyProtection="1">
      <alignment/>
      <protection/>
    </xf>
    <xf numFmtId="0" fontId="0" fillId="0" borderId="0" xfId="67" applyFont="1" applyAlignment="1">
      <alignment/>
      <protection/>
    </xf>
    <xf numFmtId="7" fontId="3" fillId="0" borderId="0" xfId="67" applyNumberFormat="1" applyFont="1" applyAlignment="1">
      <alignment/>
      <protection/>
    </xf>
    <xf numFmtId="7" fontId="3" fillId="0" borderId="0" xfId="67" applyNumberFormat="1" applyFont="1" applyBorder="1" applyAlignment="1">
      <alignment/>
      <protection/>
    </xf>
    <xf numFmtId="167" fontId="5" fillId="0" borderId="0" xfId="47" applyFill="1" applyProtection="1">
      <alignment/>
      <protection locked="0"/>
    </xf>
    <xf numFmtId="170" fontId="0" fillId="0" borderId="0" xfId="68">
      <alignment vertical="top"/>
      <protection/>
    </xf>
    <xf numFmtId="170" fontId="0" fillId="0" borderId="0" xfId="68" applyBorder="1">
      <alignment vertical="top"/>
      <protection/>
    </xf>
    <xf numFmtId="170" fontId="26" fillId="0" borderId="0" xfId="68" applyFont="1" applyBorder="1" applyAlignment="1">
      <alignment vertical="center"/>
      <protection/>
    </xf>
    <xf numFmtId="170" fontId="0" fillId="0" borderId="0" xfId="68" applyBorder="1" applyAlignment="1">
      <alignment vertical="center"/>
      <protection/>
    </xf>
    <xf numFmtId="170" fontId="0" fillId="0" borderId="0" xfId="68" applyAlignment="1">
      <alignment vertical="center"/>
      <protection/>
    </xf>
    <xf numFmtId="170" fontId="0" fillId="0" borderId="0" xfId="68" applyFont="1">
      <alignment vertical="top"/>
      <protection/>
    </xf>
    <xf numFmtId="3" fontId="16" fillId="0" borderId="0" xfId="0" applyNumberFormat="1" applyFont="1" applyAlignment="1">
      <alignment vertical="top"/>
    </xf>
    <xf numFmtId="0" fontId="0" fillId="0" borderId="0" xfId="0" applyNumberFormat="1" applyAlignment="1">
      <alignment vertical="top"/>
    </xf>
    <xf numFmtId="0" fontId="0" fillId="37" borderId="0" xfId="67" applyFont="1" applyFill="1" applyAlignment="1" applyProtection="1">
      <alignment/>
      <protection/>
    </xf>
    <xf numFmtId="188" fontId="0" fillId="37" borderId="0" xfId="67" applyNumberFormat="1" applyFont="1" applyFill="1" applyAlignment="1" applyProtection="1">
      <alignment horizontal="right"/>
      <protection/>
    </xf>
    <xf numFmtId="170" fontId="16" fillId="0" borderId="0" xfId="68" applyFont="1" applyAlignment="1">
      <alignment horizontal="left" vertical="top" wrapText="1"/>
      <protection/>
    </xf>
    <xf numFmtId="170" fontId="16" fillId="0" borderId="0" xfId="68" applyFont="1" applyAlignment="1">
      <alignment vertical="top"/>
      <protection/>
    </xf>
    <xf numFmtId="170" fontId="16" fillId="0" borderId="0" xfId="68" applyFont="1" applyAlignment="1">
      <alignment vertical="center"/>
      <protection/>
    </xf>
    <xf numFmtId="167" fontId="5" fillId="0" borderId="0" xfId="47" applyFont="1" applyFill="1" applyProtection="1">
      <alignment/>
      <protection locked="0"/>
    </xf>
    <xf numFmtId="167" fontId="2" fillId="0" borderId="0" xfId="46" applyFont="1" applyFill="1">
      <alignment/>
      <protection/>
    </xf>
    <xf numFmtId="4" fontId="0" fillId="0" borderId="0" xfId="0" applyNumberFormat="1" applyFont="1" applyBorder="1" applyAlignment="1" applyProtection="1">
      <alignment horizontal="right"/>
      <protection/>
    </xf>
    <xf numFmtId="3" fontId="0" fillId="0" borderId="0" xfId="0" applyNumberFormat="1" applyFont="1" applyBorder="1" applyAlignment="1" applyProtection="1">
      <alignment horizontal="right"/>
      <protection/>
    </xf>
    <xf numFmtId="170" fontId="0" fillId="0" borderId="0" xfId="0" applyNumberFormat="1" applyFont="1" applyBorder="1" applyAlignment="1" applyProtection="1">
      <alignment horizontal="right"/>
      <protection/>
    </xf>
    <xf numFmtId="166" fontId="0" fillId="0" borderId="0" xfId="0" applyNumberFormat="1" applyFont="1" applyBorder="1" applyAlignment="1" applyProtection="1">
      <alignment/>
      <protection/>
    </xf>
    <xf numFmtId="164" fontId="0" fillId="0" borderId="0" xfId="48" applyNumberFormat="1" applyFont="1">
      <alignment/>
      <protection/>
    </xf>
    <xf numFmtId="0" fontId="11" fillId="0" borderId="0" xfId="67" applyFont="1" applyAlignment="1" applyProtection="1">
      <alignment/>
      <protection/>
    </xf>
    <xf numFmtId="170" fontId="2" fillId="0" borderId="0" xfId="0" applyFont="1" applyFill="1" applyAlignment="1">
      <alignment vertical="top"/>
    </xf>
    <xf numFmtId="170" fontId="2" fillId="0" borderId="0" xfId="0" applyFont="1" applyFill="1" applyBorder="1" applyAlignment="1">
      <alignment horizontal="right"/>
    </xf>
    <xf numFmtId="170" fontId="0" fillId="0" borderId="0" xfId="0" applyFont="1" applyAlignment="1">
      <alignment vertical="top"/>
    </xf>
    <xf numFmtId="170" fontId="0" fillId="0" borderId="0" xfId="0" applyFont="1" applyFill="1" applyAlignment="1">
      <alignment vertical="top"/>
    </xf>
    <xf numFmtId="170" fontId="0" fillId="0" borderId="0" xfId="52" applyNumberFormat="1" applyFill="1">
      <alignment/>
      <protection/>
    </xf>
    <xf numFmtId="171" fontId="0" fillId="0" borderId="0" xfId="48" applyNumberFormat="1" applyFill="1">
      <alignment/>
      <protection/>
    </xf>
    <xf numFmtId="4" fontId="0" fillId="0" borderId="0" xfId="0" applyNumberFormat="1" applyFont="1" applyFill="1" applyAlignment="1">
      <alignment vertical="top"/>
    </xf>
    <xf numFmtId="170" fontId="0" fillId="0" borderId="0" xfId="0" applyFont="1" applyAlignment="1" applyProtection="1">
      <alignment horizontal="left" vertical="top"/>
      <protection/>
    </xf>
    <xf numFmtId="170" fontId="0" fillId="0" borderId="0" xfId="0" applyFill="1" applyAlignment="1" applyProtection="1">
      <alignment horizontal="right" vertical="top"/>
      <protection/>
    </xf>
    <xf numFmtId="173" fontId="5" fillId="0" borderId="0" xfId="0" applyNumberFormat="1" applyFont="1" applyFill="1" applyAlignment="1" applyProtection="1">
      <alignment vertical="top"/>
      <protection locked="0"/>
    </xf>
    <xf numFmtId="170" fontId="5" fillId="0" borderId="0" xfId="0" applyFont="1" applyFill="1" applyAlignment="1" applyProtection="1">
      <alignment/>
      <protection locked="0"/>
    </xf>
    <xf numFmtId="170" fontId="0" fillId="0" borderId="0" xfId="0" applyFont="1" applyBorder="1" applyAlignment="1" applyProtection="1">
      <alignment vertical="top"/>
      <protection/>
    </xf>
    <xf numFmtId="182" fontId="5" fillId="0" borderId="0" xfId="51" applyNumberFormat="1" applyProtection="1">
      <alignment/>
      <protection locked="0"/>
    </xf>
    <xf numFmtId="182" fontId="0" fillId="0" borderId="0" xfId="50" applyNumberFormat="1" applyFill="1" applyProtection="1">
      <alignment/>
      <protection/>
    </xf>
    <xf numFmtId="170" fontId="0" fillId="38" borderId="0" xfId="0" applyFont="1" applyFill="1" applyBorder="1" applyAlignment="1" applyProtection="1">
      <alignment vertical="top"/>
      <protection/>
    </xf>
    <xf numFmtId="170" fontId="0" fillId="38" borderId="0" xfId="0" applyFont="1" applyFill="1" applyAlignment="1" applyProtection="1">
      <alignment vertical="top"/>
      <protection/>
    </xf>
    <xf numFmtId="170" fontId="4" fillId="0" borderId="0" xfId="0" applyFont="1" applyFill="1" applyBorder="1" applyAlignment="1" applyProtection="1">
      <alignment horizontal="right"/>
      <protection/>
    </xf>
    <xf numFmtId="194" fontId="0" fillId="0" borderId="0" xfId="50" applyNumberFormat="1" applyProtection="1">
      <alignment/>
      <protection/>
    </xf>
    <xf numFmtId="38" fontId="0" fillId="38" borderId="0" xfId="48" applyFill="1" applyProtection="1">
      <alignment/>
      <protection/>
    </xf>
    <xf numFmtId="38" fontId="0" fillId="0" borderId="0" xfId="48" applyFill="1" applyProtection="1">
      <alignment/>
      <protection/>
    </xf>
    <xf numFmtId="170" fontId="0" fillId="38" borderId="0" xfId="0" applyFont="1" applyFill="1" applyBorder="1" applyAlignment="1" applyProtection="1">
      <alignment vertical="top"/>
      <protection/>
    </xf>
    <xf numFmtId="194" fontId="0" fillId="0" borderId="0" xfId="50" applyNumberFormat="1">
      <alignment/>
      <protection/>
    </xf>
    <xf numFmtId="173" fontId="0" fillId="0" borderId="0" xfId="46" applyNumberFormat="1">
      <alignment/>
      <protection/>
    </xf>
    <xf numFmtId="181" fontId="5" fillId="0" borderId="0" xfId="45" applyNumberFormat="1" applyFill="1" applyProtection="1">
      <alignment/>
      <protection locked="0"/>
    </xf>
    <xf numFmtId="170" fontId="0" fillId="0" borderId="0" xfId="0" applyFont="1" applyFill="1" applyAlignment="1" applyProtection="1">
      <alignment vertical="top"/>
      <protection/>
    </xf>
    <xf numFmtId="170" fontId="2" fillId="0" borderId="0" xfId="46" applyNumberFormat="1" applyFont="1" applyFill="1">
      <alignment/>
      <protection/>
    </xf>
    <xf numFmtId="4" fontId="2" fillId="0" borderId="0" xfId="0" applyNumberFormat="1" applyFont="1" applyFill="1" applyAlignment="1" applyProtection="1">
      <alignment vertical="top"/>
      <protection/>
    </xf>
    <xf numFmtId="170" fontId="0" fillId="0" borderId="0" xfId="0" applyFont="1" applyAlignment="1" applyProtection="1" quotePrefix="1">
      <alignment vertical="top"/>
      <protection/>
    </xf>
    <xf numFmtId="170" fontId="3" fillId="0" borderId="0" xfId="52" applyNumberFormat="1" applyFont="1" applyFill="1" applyBorder="1">
      <alignment/>
      <protection/>
    </xf>
    <xf numFmtId="171" fontId="3" fillId="0" borderId="0" xfId="48" applyNumberFormat="1" applyFont="1" applyFill="1" applyBorder="1">
      <alignment/>
      <protection/>
    </xf>
    <xf numFmtId="4" fontId="3" fillId="0" borderId="0" xfId="0" applyNumberFormat="1" applyFont="1" applyFill="1" applyBorder="1" applyAlignment="1">
      <alignment vertical="top"/>
    </xf>
    <xf numFmtId="170" fontId="0" fillId="0" borderId="0" xfId="52" applyNumberFormat="1" applyFont="1" applyBorder="1">
      <alignment/>
      <protection/>
    </xf>
    <xf numFmtId="171" fontId="0" fillId="0" borderId="0" xfId="48" applyNumberFormat="1" applyFont="1" applyBorder="1">
      <alignment/>
      <protection/>
    </xf>
    <xf numFmtId="201" fontId="0" fillId="0" borderId="0" xfId="48" applyNumberFormat="1" applyFill="1" applyProtection="1">
      <alignment/>
      <protection/>
    </xf>
    <xf numFmtId="40" fontId="0" fillId="0" borderId="0" xfId="52" applyFill="1" applyProtection="1">
      <alignment/>
      <protection/>
    </xf>
    <xf numFmtId="3" fontId="0" fillId="0" borderId="0" xfId="0" applyNumberFormat="1" applyAlignment="1">
      <alignment/>
    </xf>
    <xf numFmtId="3" fontId="0" fillId="39" borderId="0" xfId="0" applyNumberFormat="1" applyFill="1" applyAlignment="1">
      <alignment/>
    </xf>
    <xf numFmtId="3" fontId="0" fillId="0" borderId="0" xfId="0" applyNumberFormat="1" applyFill="1" applyAlignment="1">
      <alignment/>
    </xf>
    <xf numFmtId="4" fontId="0" fillId="0" borderId="0" xfId="0" applyNumberFormat="1" applyAlignment="1">
      <alignment/>
    </xf>
    <xf numFmtId="200" fontId="0" fillId="0" borderId="0" xfId="0" applyNumberFormat="1" applyFont="1" applyBorder="1" applyAlignment="1" applyProtection="1">
      <alignment vertical="top"/>
      <protection/>
    </xf>
    <xf numFmtId="207" fontId="0" fillId="0" borderId="0" xfId="50" applyNumberFormat="1" applyProtection="1">
      <alignment/>
      <protection/>
    </xf>
    <xf numFmtId="200" fontId="0" fillId="0" borderId="0" xfId="50" applyNumberFormat="1" applyProtection="1">
      <alignment/>
      <protection/>
    </xf>
    <xf numFmtId="170" fontId="15" fillId="0" borderId="14" xfId="0" applyFont="1" applyBorder="1" applyAlignment="1" applyProtection="1">
      <alignment/>
      <protection/>
    </xf>
    <xf numFmtId="49" fontId="4" fillId="0" borderId="0" xfId="0" applyNumberFormat="1" applyFont="1" applyFill="1" applyBorder="1" applyAlignment="1" applyProtection="1">
      <alignment horizontal="right"/>
      <protection/>
    </xf>
    <xf numFmtId="49" fontId="3" fillId="0" borderId="0" xfId="0" applyNumberFormat="1" applyFont="1" applyFill="1" applyBorder="1" applyAlignment="1" applyProtection="1">
      <alignment horizontal="right"/>
      <protection/>
    </xf>
    <xf numFmtId="165" fontId="5" fillId="0" borderId="0" xfId="45" applyFill="1" applyProtection="1">
      <alignment/>
      <protection locked="0"/>
    </xf>
    <xf numFmtId="38" fontId="5" fillId="0" borderId="0" xfId="49" applyFill="1" applyProtection="1">
      <alignment/>
      <protection/>
    </xf>
    <xf numFmtId="49" fontId="0" fillId="0" borderId="0" xfId="0" applyNumberFormat="1" applyFont="1" applyFill="1" applyBorder="1" applyAlignment="1" applyProtection="1">
      <alignment horizontal="right"/>
      <protection/>
    </xf>
    <xf numFmtId="165" fontId="18" fillId="0" borderId="0" xfId="45" applyFont="1" applyFill="1" applyBorder="1" applyProtection="1">
      <alignment/>
      <protection locked="0"/>
    </xf>
    <xf numFmtId="165" fontId="0" fillId="0" borderId="0" xfId="44" applyFill="1" applyProtection="1">
      <alignment/>
      <protection/>
    </xf>
    <xf numFmtId="164" fontId="5" fillId="0" borderId="0" xfId="0" applyNumberFormat="1" applyFont="1" applyFill="1" applyBorder="1" applyAlignment="1" applyProtection="1">
      <alignment horizontal="right"/>
      <protection/>
    </xf>
    <xf numFmtId="164" fontId="0" fillId="0" borderId="0" xfId="0" applyNumberFormat="1" applyFont="1" applyFill="1" applyAlignment="1" applyProtection="1">
      <alignment horizontal="left"/>
      <protection/>
    </xf>
    <xf numFmtId="172" fontId="5" fillId="0" borderId="0" xfId="0" applyNumberFormat="1" applyFont="1" applyFill="1" applyBorder="1" applyAlignment="1" applyProtection="1">
      <alignment horizontal="right"/>
      <protection/>
    </xf>
    <xf numFmtId="172" fontId="0" fillId="0" borderId="0" xfId="0" applyNumberFormat="1" applyFont="1" applyFill="1" applyAlignment="1" applyProtection="1">
      <alignment horizontal="left"/>
      <protection/>
    </xf>
    <xf numFmtId="3" fontId="0" fillId="0" borderId="0" xfId="0" applyNumberFormat="1" applyFont="1" applyFill="1" applyAlignment="1" applyProtection="1">
      <alignment vertical="top"/>
      <protection/>
    </xf>
    <xf numFmtId="166" fontId="0" fillId="0" borderId="0" xfId="0" applyNumberFormat="1" applyFont="1" applyFill="1" applyAlignment="1" applyProtection="1">
      <alignment vertical="top"/>
      <protection/>
    </xf>
    <xf numFmtId="3" fontId="3" fillId="0" borderId="0" xfId="48" applyNumberFormat="1" applyFont="1" applyFill="1">
      <alignment/>
      <protection/>
    </xf>
    <xf numFmtId="170" fontId="3" fillId="0" borderId="0" xfId="0" applyFont="1" applyFill="1" applyAlignment="1" applyProtection="1">
      <alignment vertical="top"/>
      <protection/>
    </xf>
    <xf numFmtId="170" fontId="0" fillId="0" borderId="0" xfId="46" applyNumberFormat="1" applyFont="1" applyFill="1">
      <alignment/>
      <protection/>
    </xf>
    <xf numFmtId="170" fontId="0" fillId="0" borderId="0" xfId="0" applyNumberFormat="1" applyFont="1" applyFill="1" applyAlignment="1" applyProtection="1">
      <alignment vertical="top"/>
      <protection/>
    </xf>
    <xf numFmtId="170" fontId="2" fillId="0" borderId="12" xfId="0" applyFont="1" applyBorder="1" applyAlignment="1" applyProtection="1">
      <alignment vertical="top"/>
      <protection/>
    </xf>
    <xf numFmtId="38" fontId="2" fillId="0" borderId="0" xfId="48" applyFont="1" applyFill="1" applyProtection="1">
      <alignment/>
      <protection/>
    </xf>
    <xf numFmtId="201" fontId="2" fillId="0" borderId="0" xfId="48" applyNumberFormat="1" applyFont="1" applyFill="1" applyProtection="1">
      <alignment/>
      <protection/>
    </xf>
    <xf numFmtId="202" fontId="2" fillId="0" borderId="0" xfId="52" applyNumberFormat="1" applyFont="1" applyFill="1" applyProtection="1">
      <alignment/>
      <protection/>
    </xf>
    <xf numFmtId="182" fontId="2" fillId="0" borderId="0" xfId="52" applyNumberFormat="1" applyFont="1" applyFill="1" applyProtection="1">
      <alignment/>
      <protection/>
    </xf>
    <xf numFmtId="40" fontId="2" fillId="0" borderId="0" xfId="52" applyFont="1" applyFill="1" applyProtection="1">
      <alignment/>
      <protection/>
    </xf>
    <xf numFmtId="194" fontId="2" fillId="0" borderId="0" xfId="50" applyNumberFormat="1" applyFont="1" applyFill="1" applyProtection="1">
      <alignment/>
      <protection/>
    </xf>
    <xf numFmtId="200" fontId="2" fillId="0" borderId="0" xfId="0" applyNumberFormat="1" applyFont="1" applyFill="1" applyBorder="1" applyAlignment="1" applyProtection="1">
      <alignment vertical="top"/>
      <protection/>
    </xf>
    <xf numFmtId="38" fontId="2" fillId="38" borderId="0" xfId="48" applyFont="1" applyFill="1" applyProtection="1">
      <alignment/>
      <protection/>
    </xf>
    <xf numFmtId="170" fontId="0" fillId="0" borderId="0" xfId="46" applyNumberFormat="1" applyFill="1">
      <alignment/>
      <protection/>
    </xf>
    <xf numFmtId="166" fontId="0" fillId="0" borderId="0" xfId="0" applyNumberFormat="1" applyFont="1" applyFill="1" applyAlignment="1" applyProtection="1">
      <alignment horizontal="left"/>
      <protection/>
    </xf>
    <xf numFmtId="170" fontId="0" fillId="0" borderId="11" xfId="0" applyFont="1" applyFill="1" applyBorder="1" applyAlignment="1" applyProtection="1">
      <alignment vertical="top"/>
      <protection/>
    </xf>
    <xf numFmtId="166" fontId="0" fillId="0" borderId="0" xfId="0" applyNumberFormat="1" applyFont="1" applyFill="1" applyAlignment="1" applyProtection="1">
      <alignment horizontal="left"/>
      <protection/>
    </xf>
    <xf numFmtId="184" fontId="0" fillId="0" borderId="0" xfId="46" applyNumberFormat="1" applyFill="1">
      <alignment/>
      <protection/>
    </xf>
    <xf numFmtId="166" fontId="2" fillId="0" borderId="0" xfId="0" applyNumberFormat="1" applyFont="1" applyFill="1" applyAlignment="1" applyProtection="1">
      <alignment horizontal="left"/>
      <protection/>
    </xf>
    <xf numFmtId="170" fontId="2" fillId="0" borderId="11" xfId="0" applyFont="1" applyFill="1" applyBorder="1" applyAlignment="1" applyProtection="1">
      <alignment vertical="top"/>
      <protection/>
    </xf>
    <xf numFmtId="3" fontId="0" fillId="0" borderId="0" xfId="0" applyNumberFormat="1" applyFont="1" applyAlignment="1" applyProtection="1">
      <alignment vertical="top"/>
      <protection/>
    </xf>
    <xf numFmtId="170" fontId="0" fillId="0" borderId="0" xfId="0" applyFont="1" applyFill="1" applyAlignment="1" applyProtection="1" quotePrefix="1">
      <alignment vertical="top"/>
      <protection/>
    </xf>
    <xf numFmtId="3" fontId="0" fillId="0" borderId="0" xfId="48" applyNumberFormat="1" applyFill="1">
      <alignment/>
      <protection/>
    </xf>
    <xf numFmtId="179" fontId="0" fillId="0" borderId="0" xfId="52" applyNumberFormat="1" applyFill="1">
      <alignment/>
      <protection/>
    </xf>
    <xf numFmtId="3" fontId="0" fillId="0" borderId="0" xfId="48" applyNumberFormat="1" applyFont="1" applyFill="1">
      <alignment/>
      <protection/>
    </xf>
    <xf numFmtId="169" fontId="0" fillId="0" borderId="0" xfId="0" applyNumberFormat="1" applyFont="1" applyFill="1" applyAlignment="1" applyProtection="1">
      <alignment vertical="top"/>
      <protection/>
    </xf>
    <xf numFmtId="179" fontId="3" fillId="0" borderId="0" xfId="52" applyNumberFormat="1" applyFont="1" applyFill="1">
      <alignment/>
      <protection/>
    </xf>
    <xf numFmtId="191" fontId="2" fillId="0" borderId="0" xfId="0" applyNumberFormat="1" applyFont="1" applyFill="1" applyAlignment="1">
      <alignment vertical="top"/>
    </xf>
    <xf numFmtId="10" fontId="2" fillId="0" borderId="0" xfId="77" applyNumberFormat="1" applyFont="1" applyAlignment="1">
      <alignment vertical="top"/>
    </xf>
    <xf numFmtId="170" fontId="0" fillId="0" borderId="0" xfId="52" applyNumberFormat="1" applyFont="1" applyFill="1">
      <alignment/>
      <protection/>
    </xf>
    <xf numFmtId="170" fontId="3" fillId="0" borderId="0" xfId="0" applyFont="1" applyAlignment="1">
      <alignment vertical="top"/>
    </xf>
    <xf numFmtId="184" fontId="0" fillId="0" borderId="0" xfId="0" applyNumberFormat="1" applyAlignment="1">
      <alignment/>
    </xf>
    <xf numFmtId="180" fontId="5" fillId="0" borderId="0" xfId="45" applyNumberFormat="1" applyFill="1" applyProtection="1">
      <alignment/>
      <protection locked="0"/>
    </xf>
    <xf numFmtId="3" fontId="2" fillId="0" borderId="0" xfId="0" applyNumberFormat="1" applyFont="1" applyFill="1" applyAlignment="1" applyProtection="1">
      <alignment/>
      <protection/>
    </xf>
    <xf numFmtId="3" fontId="0" fillId="0" borderId="0" xfId="0" applyNumberFormat="1" applyFont="1" applyFill="1" applyBorder="1" applyAlignment="1" applyProtection="1">
      <alignment/>
      <protection/>
    </xf>
    <xf numFmtId="172" fontId="2" fillId="0" borderId="0" xfId="0" applyNumberFormat="1" applyFont="1" applyFill="1" applyAlignment="1">
      <alignment/>
    </xf>
    <xf numFmtId="170" fontId="4" fillId="0" borderId="0" xfId="0" applyFont="1" applyFill="1" applyBorder="1" applyAlignment="1">
      <alignment horizontal="right"/>
    </xf>
    <xf numFmtId="182" fontId="5" fillId="0" borderId="0" xfId="51" applyNumberFormat="1" applyFill="1" applyProtection="1">
      <alignment/>
      <protection locked="0"/>
    </xf>
    <xf numFmtId="40" fontId="5" fillId="0" borderId="0" xfId="53" applyFill="1" applyProtection="1">
      <alignment/>
      <protection locked="0"/>
    </xf>
    <xf numFmtId="3" fontId="27" fillId="0" borderId="0" xfId="0" applyNumberFormat="1" applyFont="1" applyAlignment="1">
      <alignment horizontal="center"/>
    </xf>
    <xf numFmtId="184" fontId="27" fillId="0" borderId="0" xfId="0" applyNumberFormat="1" applyFont="1" applyAlignment="1">
      <alignment horizontal="center"/>
    </xf>
    <xf numFmtId="4" fontId="27" fillId="0" borderId="0" xfId="0" applyNumberFormat="1" applyFont="1" applyAlignment="1">
      <alignment horizontal="center"/>
    </xf>
    <xf numFmtId="0" fontId="0" fillId="0" borderId="0" xfId="0" applyNumberFormat="1" applyFont="1" applyAlignment="1" applyProtection="1">
      <alignment vertical="top"/>
      <protection/>
    </xf>
    <xf numFmtId="208" fontId="27" fillId="40" borderId="0" xfId="0" applyNumberFormat="1" applyFont="1" applyFill="1" applyAlignment="1">
      <alignment horizontal="center"/>
    </xf>
    <xf numFmtId="208" fontId="0" fillId="0" borderId="0" xfId="0" applyNumberFormat="1" applyAlignment="1">
      <alignment/>
    </xf>
    <xf numFmtId="170" fontId="0" fillId="0" borderId="0" xfId="0" applyFont="1" applyAlignment="1" applyProtection="1">
      <alignment horizontal="right" vertical="top"/>
      <protection/>
    </xf>
    <xf numFmtId="170" fontId="28" fillId="0" borderId="0" xfId="0" applyFont="1" applyAlignment="1">
      <alignment vertical="top"/>
    </xf>
    <xf numFmtId="0" fontId="2" fillId="39" borderId="15" xfId="0" applyNumberFormat="1" applyFont="1" applyFill="1" applyBorder="1" applyAlignment="1" applyProtection="1">
      <alignment vertical="top"/>
      <protection/>
    </xf>
    <xf numFmtId="0" fontId="0" fillId="39" borderId="0" xfId="0" applyNumberFormat="1" applyFill="1" applyAlignment="1">
      <alignment/>
    </xf>
    <xf numFmtId="170" fontId="0" fillId="39" borderId="0" xfId="0" applyFont="1" applyFill="1" applyAlignment="1" applyProtection="1">
      <alignment vertical="top"/>
      <protection/>
    </xf>
    <xf numFmtId="0" fontId="2" fillId="39" borderId="16" xfId="0" applyNumberFormat="1" applyFont="1" applyFill="1" applyBorder="1" applyAlignment="1" applyProtection="1">
      <alignment vertical="top"/>
      <protection/>
    </xf>
    <xf numFmtId="0" fontId="2" fillId="39" borderId="17" xfId="0" applyNumberFormat="1" applyFont="1" applyFill="1" applyBorder="1" applyAlignment="1" applyProtection="1">
      <alignment vertical="top"/>
      <protection/>
    </xf>
    <xf numFmtId="0" fontId="2" fillId="39" borderId="18" xfId="0" applyNumberFormat="1" applyFont="1" applyFill="1" applyBorder="1" applyAlignment="1" applyProtection="1">
      <alignment vertical="top"/>
      <protection/>
    </xf>
    <xf numFmtId="201" fontId="0" fillId="0" borderId="0" xfId="53" applyNumberFormat="1" applyFont="1" applyFill="1" applyProtection="1">
      <alignment/>
      <protection/>
    </xf>
    <xf numFmtId="38" fontId="0" fillId="0" borderId="0" xfId="49" applyFont="1" applyFill="1" applyProtection="1">
      <alignment/>
      <protection/>
    </xf>
    <xf numFmtId="40" fontId="0" fillId="0" borderId="0" xfId="53" applyFont="1" applyFill="1" applyProtection="1">
      <alignment/>
      <protection/>
    </xf>
    <xf numFmtId="170" fontId="2" fillId="0" borderId="0" xfId="0" applyFont="1" applyFill="1" applyBorder="1" applyAlignment="1" applyProtection="1">
      <alignment vertical="top"/>
      <protection/>
    </xf>
    <xf numFmtId="38" fontId="2" fillId="0" borderId="0" xfId="48" applyFont="1" applyProtection="1">
      <alignment/>
      <protection/>
    </xf>
    <xf numFmtId="174" fontId="2" fillId="0" borderId="0" xfId="50" applyFont="1" applyProtection="1">
      <alignment/>
      <protection/>
    </xf>
    <xf numFmtId="4" fontId="2" fillId="0" borderId="0" xfId="0" applyNumberFormat="1" applyFont="1" applyBorder="1" applyAlignment="1" applyProtection="1">
      <alignment vertical="top"/>
      <protection/>
    </xf>
    <xf numFmtId="198" fontId="2" fillId="0" borderId="0" xfId="52" applyNumberFormat="1" applyFont="1" applyFill="1" applyProtection="1">
      <alignment/>
      <protection/>
    </xf>
    <xf numFmtId="170" fontId="4" fillId="38" borderId="0" xfId="0" applyFont="1" applyFill="1" applyBorder="1" applyAlignment="1">
      <alignment horizontal="right"/>
    </xf>
    <xf numFmtId="170" fontId="0" fillId="38" borderId="0" xfId="0" applyFont="1" applyFill="1" applyAlignment="1">
      <alignment vertical="top"/>
    </xf>
    <xf numFmtId="170" fontId="0" fillId="38" borderId="0" xfId="0" applyFill="1" applyAlignment="1">
      <alignment vertical="top"/>
    </xf>
    <xf numFmtId="166" fontId="4" fillId="38" borderId="0" xfId="0" applyNumberFormat="1" applyFont="1" applyFill="1" applyBorder="1" applyAlignment="1" applyProtection="1">
      <alignment horizontal="right"/>
      <protection/>
    </xf>
    <xf numFmtId="170" fontId="4" fillId="38" borderId="0" xfId="0" applyFont="1" applyFill="1" applyAlignment="1">
      <alignment horizontal="center" vertical="top"/>
    </xf>
    <xf numFmtId="166" fontId="2" fillId="38" borderId="0" xfId="0" applyNumberFormat="1" applyFont="1" applyFill="1" applyBorder="1" applyAlignment="1" applyProtection="1">
      <alignment horizontal="right"/>
      <protection/>
    </xf>
    <xf numFmtId="4" fontId="0" fillId="38" borderId="0" xfId="0" applyNumberFormat="1" applyFont="1" applyFill="1" applyBorder="1" applyAlignment="1" applyProtection="1">
      <alignment horizontal="right"/>
      <protection/>
    </xf>
    <xf numFmtId="3" fontId="0" fillId="38" borderId="0" xfId="0" applyNumberFormat="1" applyFont="1" applyFill="1" applyBorder="1" applyAlignment="1" applyProtection="1">
      <alignment horizontal="right"/>
      <protection/>
    </xf>
    <xf numFmtId="170" fontId="0" fillId="38" borderId="0" xfId="0" applyNumberFormat="1" applyFont="1" applyFill="1" applyBorder="1" applyAlignment="1" applyProtection="1">
      <alignment horizontal="right"/>
      <protection/>
    </xf>
    <xf numFmtId="170" fontId="2" fillId="38" borderId="0" xfId="0" applyNumberFormat="1" applyFont="1" applyFill="1" applyBorder="1" applyAlignment="1" applyProtection="1">
      <alignment/>
      <protection/>
    </xf>
    <xf numFmtId="171" fontId="2" fillId="38" borderId="0" xfId="48" applyNumberFormat="1" applyFont="1" applyFill="1">
      <alignment/>
      <protection/>
    </xf>
    <xf numFmtId="166" fontId="0" fillId="38" borderId="0" xfId="0" applyNumberFormat="1" applyFont="1" applyFill="1" applyBorder="1" applyAlignment="1" applyProtection="1">
      <alignment/>
      <protection/>
    </xf>
    <xf numFmtId="164" fontId="0" fillId="38" borderId="0" xfId="48" applyNumberFormat="1" applyFont="1" applyFill="1">
      <alignment/>
      <protection/>
    </xf>
    <xf numFmtId="166" fontId="2" fillId="38" borderId="0" xfId="0" applyNumberFormat="1" applyFont="1" applyFill="1" applyBorder="1" applyAlignment="1" applyProtection="1">
      <alignment/>
      <protection/>
    </xf>
    <xf numFmtId="164" fontId="2" fillId="38" borderId="0" xfId="48" applyNumberFormat="1" applyFont="1" applyFill="1">
      <alignment/>
      <protection/>
    </xf>
    <xf numFmtId="172" fontId="2" fillId="38" borderId="0" xfId="0" applyNumberFormat="1" applyFont="1" applyFill="1" applyAlignment="1">
      <alignment/>
    </xf>
    <xf numFmtId="3" fontId="16" fillId="38" borderId="0" xfId="0" applyNumberFormat="1" applyFont="1" applyFill="1" applyAlignment="1">
      <alignment/>
    </xf>
    <xf numFmtId="167" fontId="0" fillId="38" borderId="0" xfId="46" applyFill="1">
      <alignment/>
      <protection/>
    </xf>
    <xf numFmtId="167" fontId="2" fillId="38" borderId="0" xfId="46" applyFont="1" applyFill="1">
      <alignment/>
      <protection/>
    </xf>
    <xf numFmtId="191" fontId="2" fillId="38" borderId="0" xfId="0" applyNumberFormat="1" applyFont="1" applyFill="1" applyAlignment="1">
      <alignment vertical="top"/>
    </xf>
    <xf numFmtId="170" fontId="0" fillId="0" borderId="0" xfId="0" applyFont="1" applyBorder="1" applyAlignment="1" applyProtection="1">
      <alignment horizontal="right" vertical="top"/>
      <protection/>
    </xf>
    <xf numFmtId="3" fontId="0" fillId="0" borderId="0" xfId="0" applyNumberFormat="1" applyFill="1" applyAlignment="1">
      <alignment horizontal="left" vertical="top"/>
    </xf>
    <xf numFmtId="169" fontId="0" fillId="0" borderId="0" xfId="0" applyNumberFormat="1" applyFill="1" applyAlignment="1">
      <alignment horizontal="left" vertical="top"/>
    </xf>
    <xf numFmtId="198" fontId="5" fillId="0" borderId="0" xfId="53" applyNumberFormat="1" applyProtection="1">
      <alignment/>
      <protection locked="0"/>
    </xf>
    <xf numFmtId="170" fontId="0" fillId="0" borderId="0" xfId="52" applyNumberFormat="1" applyFont="1">
      <alignment/>
      <protection/>
    </xf>
    <xf numFmtId="171" fontId="0" fillId="0" borderId="0" xfId="48" applyNumberFormat="1" applyFont="1">
      <alignment/>
      <protection/>
    </xf>
    <xf numFmtId="3" fontId="0" fillId="38" borderId="0" xfId="0" applyNumberFormat="1" applyFill="1" applyAlignment="1">
      <alignment vertical="top"/>
    </xf>
    <xf numFmtId="3" fontId="0" fillId="38" borderId="0" xfId="0" applyNumberFormat="1" applyFill="1" applyAlignment="1">
      <alignment horizontal="left" vertical="top"/>
    </xf>
    <xf numFmtId="169" fontId="0" fillId="38" borderId="0" xfId="0" applyNumberFormat="1" applyFill="1" applyAlignment="1">
      <alignment horizontal="left" vertical="top"/>
    </xf>
    <xf numFmtId="170" fontId="0" fillId="0" borderId="11" xfId="0" applyFont="1" applyFill="1" applyBorder="1" applyAlignment="1">
      <alignment vertical="top"/>
    </xf>
    <xf numFmtId="170" fontId="2" fillId="0" borderId="0" xfId="0" applyFont="1" applyFill="1" applyBorder="1" applyAlignment="1">
      <alignment horizontal="center" vertical="center"/>
    </xf>
    <xf numFmtId="170" fontId="4" fillId="0" borderId="0" xfId="0" applyFont="1" applyFill="1" applyBorder="1" applyAlignment="1">
      <alignment horizontal="right" vertical="center"/>
    </xf>
    <xf numFmtId="3" fontId="2" fillId="38" borderId="0" xfId="0" applyNumberFormat="1" applyFont="1" applyFill="1" applyBorder="1" applyAlignment="1" applyProtection="1">
      <alignment/>
      <protection/>
    </xf>
    <xf numFmtId="3" fontId="0" fillId="38" borderId="0" xfId="0" applyNumberFormat="1" applyFont="1" applyFill="1" applyBorder="1" applyAlignment="1" applyProtection="1">
      <alignment/>
      <protection/>
    </xf>
    <xf numFmtId="3" fontId="0" fillId="38" borderId="0" xfId="0" applyNumberFormat="1" applyFill="1" applyBorder="1" applyAlignment="1" applyProtection="1">
      <alignment/>
      <protection/>
    </xf>
    <xf numFmtId="3" fontId="0" fillId="38" borderId="11" xfId="0" applyNumberFormat="1" applyFont="1" applyFill="1" applyBorder="1" applyAlignment="1">
      <alignment vertical="top"/>
    </xf>
    <xf numFmtId="3" fontId="0" fillId="38" borderId="0" xfId="0" applyNumberFormat="1" applyFill="1" applyAlignment="1" applyProtection="1">
      <alignment/>
      <protection/>
    </xf>
    <xf numFmtId="3" fontId="0" fillId="38" borderId="0" xfId="0" applyNumberFormat="1" applyFont="1" applyFill="1" applyAlignment="1" applyProtection="1">
      <alignment/>
      <protection/>
    </xf>
    <xf numFmtId="3" fontId="2" fillId="38" borderId="0" xfId="0" applyNumberFormat="1" applyFont="1" applyFill="1" applyAlignment="1">
      <alignment/>
    </xf>
    <xf numFmtId="3" fontId="2" fillId="38" borderId="0" xfId="0" applyNumberFormat="1" applyFont="1" applyFill="1" applyAlignment="1" applyProtection="1">
      <alignment/>
      <protection/>
    </xf>
    <xf numFmtId="3" fontId="0" fillId="38" borderId="0" xfId="0" applyNumberFormat="1" applyFont="1" applyFill="1" applyBorder="1" applyAlignment="1">
      <alignment vertical="top"/>
    </xf>
    <xf numFmtId="170" fontId="0" fillId="38" borderId="0" xfId="0" applyFont="1" applyFill="1" applyBorder="1" applyAlignment="1">
      <alignment vertical="top"/>
    </xf>
    <xf numFmtId="170" fontId="0" fillId="38" borderId="0" xfId="0" applyFill="1" applyAlignment="1">
      <alignment vertical="top" wrapText="1"/>
    </xf>
    <xf numFmtId="170" fontId="0" fillId="38" borderId="0" xfId="0" applyFill="1" applyAlignment="1">
      <alignment vertical="top"/>
    </xf>
    <xf numFmtId="170" fontId="2" fillId="38" borderId="0" xfId="0" applyFont="1" applyFill="1" applyAlignment="1" applyProtection="1">
      <alignment vertical="top"/>
      <protection/>
    </xf>
    <xf numFmtId="10" fontId="2" fillId="38" borderId="0" xfId="77" applyNumberFormat="1" applyFont="1" applyFill="1" applyAlignment="1">
      <alignment vertical="top"/>
    </xf>
    <xf numFmtId="3" fontId="0" fillId="38" borderId="0" xfId="0" applyNumberFormat="1" applyFill="1" applyAlignment="1">
      <alignment horizontal="right" vertical="top"/>
    </xf>
    <xf numFmtId="170" fontId="27" fillId="38" borderId="0" xfId="0" applyFont="1" applyFill="1" applyAlignment="1">
      <alignment vertical="top"/>
    </xf>
    <xf numFmtId="169" fontId="0" fillId="38" borderId="0" xfId="0" applyNumberFormat="1" applyFill="1" applyAlignment="1">
      <alignment vertical="top"/>
    </xf>
    <xf numFmtId="4" fontId="0" fillId="38" borderId="0" xfId="0" applyNumberFormat="1" applyFill="1" applyAlignment="1">
      <alignment vertical="top"/>
    </xf>
    <xf numFmtId="10" fontId="0" fillId="38" borderId="0" xfId="0" applyNumberFormat="1" applyFill="1" applyAlignment="1">
      <alignment vertical="top"/>
    </xf>
    <xf numFmtId="170" fontId="0" fillId="38" borderId="0" xfId="0" applyFont="1" applyFill="1" applyAlignment="1" applyProtection="1">
      <alignment vertical="top"/>
      <protection/>
    </xf>
    <xf numFmtId="170" fontId="0" fillId="38" borderId="0" xfId="0" applyFont="1" applyFill="1" applyAlignment="1" applyProtection="1">
      <alignment vertical="top"/>
      <protection/>
    </xf>
    <xf numFmtId="3" fontId="0" fillId="38" borderId="0" xfId="0" applyNumberFormat="1" applyFont="1" applyFill="1" applyAlignment="1" applyProtection="1">
      <alignment vertical="top"/>
      <protection/>
    </xf>
    <xf numFmtId="169" fontId="0" fillId="38" borderId="0" xfId="0" applyNumberFormat="1" applyFont="1" applyFill="1" applyAlignment="1" applyProtection="1">
      <alignment vertical="top"/>
      <protection/>
    </xf>
    <xf numFmtId="170" fontId="0" fillId="38" borderId="0" xfId="0" applyFill="1" applyAlignment="1" applyProtection="1">
      <alignment vertical="top"/>
      <protection/>
    </xf>
    <xf numFmtId="3" fontId="0" fillId="0" borderId="0" xfId="0" applyNumberFormat="1" applyFont="1" applyFill="1" applyAlignment="1" applyProtection="1">
      <alignment vertical="top"/>
      <protection/>
    </xf>
    <xf numFmtId="3" fontId="3" fillId="0" borderId="0" xfId="0" applyNumberFormat="1" applyFont="1" applyFill="1" applyAlignment="1" applyProtection="1">
      <alignment vertical="top"/>
      <protection/>
    </xf>
    <xf numFmtId="170" fontId="2" fillId="0" borderId="0" xfId="48" applyNumberFormat="1" applyFont="1" applyFill="1">
      <alignment/>
      <protection/>
    </xf>
    <xf numFmtId="170" fontId="79" fillId="38" borderId="0" xfId="0" applyFont="1" applyFill="1" applyAlignment="1" applyProtection="1">
      <alignment vertical="top"/>
      <protection/>
    </xf>
    <xf numFmtId="171" fontId="3" fillId="0" borderId="0" xfId="48" applyNumberFormat="1" applyFont="1" applyFill="1">
      <alignment/>
      <protection/>
    </xf>
    <xf numFmtId="170" fontId="80" fillId="0" borderId="0" xfId="68" applyFont="1" applyFill="1" applyAlignment="1">
      <alignment vertical="top"/>
      <protection/>
    </xf>
    <xf numFmtId="170" fontId="0" fillId="0" borderId="0" xfId="0" applyAlignment="1">
      <alignment horizontal="left" vertical="top" wrapText="1"/>
    </xf>
    <xf numFmtId="170" fontId="80" fillId="0" borderId="0" xfId="68" applyFont="1" applyFill="1" applyAlignment="1">
      <alignment horizontal="center" vertical="center"/>
      <protection/>
    </xf>
    <xf numFmtId="170" fontId="2" fillId="0" borderId="0" xfId="68" applyFont="1">
      <alignment vertical="top"/>
      <protection/>
    </xf>
    <xf numFmtId="170" fontId="0" fillId="0" borderId="0" xfId="0" applyAlignment="1">
      <alignment vertical="center"/>
    </xf>
    <xf numFmtId="170" fontId="4" fillId="0" borderId="0" xfId="0" applyFont="1" applyBorder="1" applyAlignment="1" applyProtection="1">
      <alignment horizontal="left"/>
      <protection/>
    </xf>
    <xf numFmtId="167" fontId="5" fillId="0" borderId="0" xfId="0" applyNumberFormat="1" applyFont="1" applyFill="1" applyBorder="1" applyAlignment="1" applyProtection="1">
      <alignment/>
      <protection locked="0"/>
    </xf>
    <xf numFmtId="183" fontId="0" fillId="0" borderId="0" xfId="46" applyNumberFormat="1" applyProtection="1">
      <alignment/>
      <protection/>
    </xf>
    <xf numFmtId="170" fontId="0" fillId="0" borderId="0" xfId="0" applyFont="1" applyFill="1" applyAlignment="1" applyProtection="1">
      <alignment horizontal="right" vertical="top"/>
      <protection/>
    </xf>
    <xf numFmtId="180" fontId="5" fillId="0" borderId="0" xfId="47" applyNumberFormat="1" applyFill="1" applyAlignment="1" applyProtection="1">
      <alignment/>
      <protection locked="0"/>
    </xf>
    <xf numFmtId="182" fontId="0" fillId="0" borderId="0" xfId="51" applyNumberFormat="1" applyFont="1" applyProtection="1">
      <alignment/>
      <protection/>
    </xf>
    <xf numFmtId="38" fontId="2" fillId="0" borderId="0" xfId="49" applyFont="1" applyProtection="1">
      <alignment/>
      <protection/>
    </xf>
    <xf numFmtId="40" fontId="5" fillId="0" borderId="0" xfId="53" applyProtection="1">
      <alignment/>
      <protection/>
    </xf>
    <xf numFmtId="181" fontId="5" fillId="0" borderId="0" xfId="45" applyNumberFormat="1" applyFill="1" applyProtection="1">
      <alignment/>
      <protection/>
    </xf>
    <xf numFmtId="171" fontId="5" fillId="0" borderId="0" xfId="0" applyNumberFormat="1" applyFont="1" applyFill="1" applyAlignment="1" applyProtection="1">
      <alignment vertical="top"/>
      <protection/>
    </xf>
    <xf numFmtId="165" fontId="5" fillId="0" borderId="0" xfId="0" applyNumberFormat="1" applyFont="1" applyFill="1" applyAlignment="1" applyProtection="1">
      <alignment vertical="top"/>
      <protection locked="0"/>
    </xf>
    <xf numFmtId="165" fontId="5" fillId="0" borderId="0" xfId="54" applyNumberFormat="1" applyFont="1" applyFill="1" applyAlignment="1" applyProtection="1">
      <alignment/>
      <protection locked="0"/>
    </xf>
    <xf numFmtId="167" fontId="5" fillId="0" borderId="0" xfId="47" applyNumberFormat="1" applyFill="1" applyProtection="1">
      <alignment/>
      <protection locked="0"/>
    </xf>
    <xf numFmtId="167" fontId="5" fillId="0" borderId="0" xfId="45" applyNumberFormat="1" applyProtection="1">
      <alignment/>
      <protection locked="0"/>
    </xf>
    <xf numFmtId="170" fontId="0" fillId="0" borderId="0" xfId="0" applyFont="1" applyFill="1" applyAlignment="1" applyProtection="1">
      <alignment vertical="center"/>
      <protection/>
    </xf>
    <xf numFmtId="170" fontId="81" fillId="0" borderId="0" xfId="0" applyFont="1" applyFill="1" applyBorder="1" applyAlignment="1" applyProtection="1">
      <alignment vertical="center"/>
      <protection/>
    </xf>
    <xf numFmtId="170" fontId="0" fillId="38" borderId="0" xfId="0" applyFont="1" applyFill="1" applyAlignment="1" applyProtection="1">
      <alignment vertical="center"/>
      <protection/>
    </xf>
    <xf numFmtId="170" fontId="0" fillId="0" borderId="0" xfId="0" applyFont="1" applyAlignment="1" applyProtection="1">
      <alignment vertical="center"/>
      <protection/>
    </xf>
    <xf numFmtId="170" fontId="82" fillId="0" borderId="0" xfId="0" applyFont="1" applyBorder="1" applyAlignment="1" applyProtection="1">
      <alignment/>
      <protection/>
    </xf>
    <xf numFmtId="170" fontId="83" fillId="0" borderId="0" xfId="0" applyFont="1" applyBorder="1" applyAlignment="1" applyProtection="1">
      <alignment horizontal="right"/>
      <protection/>
    </xf>
    <xf numFmtId="170" fontId="0" fillId="0" borderId="11" xfId="0" applyBorder="1" applyAlignment="1">
      <alignment/>
    </xf>
    <xf numFmtId="170" fontId="0" fillId="0" borderId="11" xfId="0" applyBorder="1" applyAlignment="1" applyProtection="1">
      <alignment horizontal="right"/>
      <protection/>
    </xf>
    <xf numFmtId="170" fontId="82" fillId="0" borderId="11" xfId="0" applyFont="1" applyFill="1" applyBorder="1" applyAlignment="1" applyProtection="1">
      <alignment horizontal="right"/>
      <protection/>
    </xf>
    <xf numFmtId="170" fontId="0" fillId="0" borderId="0" xfId="0" applyAlignment="1">
      <alignment/>
    </xf>
    <xf numFmtId="168" fontId="0" fillId="0" borderId="0" xfId="0" applyNumberFormat="1" applyAlignment="1">
      <alignment/>
    </xf>
    <xf numFmtId="170" fontId="0" fillId="0" borderId="0" xfId="0" applyNumberFormat="1" applyAlignment="1">
      <alignment/>
    </xf>
    <xf numFmtId="170" fontId="82" fillId="0" borderId="13" xfId="0" applyFont="1" applyBorder="1" applyAlignment="1" applyProtection="1">
      <alignment horizontal="left" vertical="center"/>
      <protection/>
    </xf>
    <xf numFmtId="170" fontId="83" fillId="0" borderId="13" xfId="0" applyFont="1" applyBorder="1" applyAlignment="1" applyProtection="1">
      <alignment/>
      <protection/>
    </xf>
    <xf numFmtId="170" fontId="0" fillId="0" borderId="13" xfId="0" applyBorder="1" applyAlignment="1" applyProtection="1">
      <alignment/>
      <protection/>
    </xf>
    <xf numFmtId="170" fontId="84" fillId="0" borderId="0" xfId="0" applyFont="1" applyBorder="1" applyAlignment="1">
      <alignment horizontal="left" vertical="top"/>
    </xf>
    <xf numFmtId="170" fontId="25" fillId="0" borderId="0" xfId="0" applyFont="1" applyAlignment="1">
      <alignment/>
    </xf>
    <xf numFmtId="170" fontId="24" fillId="0" borderId="0" xfId="68" applyFont="1" applyFill="1">
      <alignment vertical="top"/>
      <protection/>
    </xf>
    <xf numFmtId="170" fontId="24" fillId="0" borderId="0" xfId="0" applyFont="1" applyAlignment="1">
      <alignment/>
    </xf>
    <xf numFmtId="170" fontId="85" fillId="0" borderId="0" xfId="63" applyNumberFormat="1" applyFont="1" applyAlignment="1" applyProtection="1">
      <alignment vertical="top"/>
      <protection locked="0"/>
    </xf>
    <xf numFmtId="170" fontId="86" fillId="0" borderId="0" xfId="63" applyNumberFormat="1" applyFont="1" applyAlignment="1" applyProtection="1">
      <alignment vertical="top"/>
      <protection locked="0"/>
    </xf>
    <xf numFmtId="3" fontId="0" fillId="0" borderId="0" xfId="0" applyNumberFormat="1" applyFont="1" applyAlignment="1">
      <alignment vertical="top"/>
    </xf>
    <xf numFmtId="0" fontId="81" fillId="0" borderId="0" xfId="0" applyNumberFormat="1" applyFont="1" applyFill="1" applyBorder="1" applyAlignment="1">
      <alignment vertical="center"/>
    </xf>
    <xf numFmtId="42" fontId="5" fillId="0" borderId="0" xfId="54" applyNumberFormat="1" applyFont="1" applyAlignment="1" applyProtection="1">
      <alignment/>
      <protection locked="0"/>
    </xf>
    <xf numFmtId="170" fontId="22" fillId="0" borderId="0" xfId="0" applyFont="1" applyAlignment="1">
      <alignment horizontal="center" vertical="center" wrapText="1"/>
    </xf>
    <xf numFmtId="170" fontId="23" fillId="0" borderId="0" xfId="0" applyFont="1" applyAlignment="1">
      <alignment horizontal="center" vertical="center" wrapText="1"/>
    </xf>
    <xf numFmtId="170" fontId="20" fillId="0" borderId="0" xfId="0" applyFont="1" applyAlignment="1">
      <alignment horizontal="center" vertical="center" wrapText="1"/>
    </xf>
    <xf numFmtId="170" fontId="21" fillId="0" borderId="0" xfId="0" applyFont="1" applyAlignment="1">
      <alignment horizontal="center" vertical="center" wrapText="1"/>
    </xf>
    <xf numFmtId="3" fontId="29" fillId="0" borderId="0" xfId="0" applyNumberFormat="1" applyFont="1" applyFill="1" applyBorder="1" applyAlignment="1">
      <alignment horizontal="center" vertical="center" wrapText="1"/>
    </xf>
    <xf numFmtId="170" fontId="30" fillId="0" borderId="0" xfId="0" applyFont="1" applyFill="1" applyBorder="1" applyAlignment="1">
      <alignment horizontal="center" vertical="center" wrapText="1"/>
    </xf>
    <xf numFmtId="170" fontId="16" fillId="0" borderId="0" xfId="68" applyFont="1" applyFill="1" applyAlignment="1">
      <alignment horizontal="left" vertical="top" wrapText="1"/>
      <protection/>
    </xf>
    <xf numFmtId="170" fontId="25" fillId="0" borderId="0" xfId="68" applyFont="1" applyAlignment="1">
      <alignment horizontal="left" vertical="top" wrapText="1"/>
      <protection/>
    </xf>
    <xf numFmtId="170" fontId="81" fillId="41" borderId="0" xfId="0" applyFont="1" applyFill="1" applyAlignment="1">
      <alignment horizontal="center" vertical="center"/>
    </xf>
    <xf numFmtId="170" fontId="0" fillId="0" borderId="0" xfId="0" applyFill="1" applyAlignment="1">
      <alignment horizontal="left" vertical="top" wrapText="1"/>
    </xf>
    <xf numFmtId="170" fontId="0" fillId="0" borderId="0" xfId="0" applyFont="1" applyFill="1" applyAlignment="1">
      <alignment horizontal="left" vertical="top" wrapText="1"/>
    </xf>
    <xf numFmtId="0" fontId="81" fillId="41" borderId="0" xfId="0" applyNumberFormat="1" applyFont="1" applyFill="1" applyBorder="1" applyAlignment="1">
      <alignment horizontal="center" vertical="center" wrapText="1"/>
    </xf>
    <xf numFmtId="170" fontId="87" fillId="41" borderId="0" xfId="0" applyFont="1" applyFill="1" applyAlignment="1">
      <alignment horizontal="center" vertical="center" wrapText="1"/>
    </xf>
    <xf numFmtId="170" fontId="88" fillId="41" borderId="0" xfId="0" applyFont="1" applyFill="1" applyAlignment="1">
      <alignment horizontal="center" vertical="center" wrapText="1"/>
    </xf>
    <xf numFmtId="170" fontId="17" fillId="0" borderId="0" xfId="0" applyFont="1" applyFill="1" applyAlignment="1" quotePrefix="1">
      <alignment horizontal="center" vertical="center" wrapText="1"/>
    </xf>
    <xf numFmtId="170" fontId="17" fillId="0" borderId="0" xfId="0" applyFont="1" applyFill="1" applyAlignment="1">
      <alignment horizontal="center" vertical="center" wrapText="1"/>
    </xf>
    <xf numFmtId="3" fontId="89" fillId="41" borderId="0" xfId="0" applyNumberFormat="1" applyFont="1" applyFill="1" applyBorder="1" applyAlignment="1" applyProtection="1">
      <alignment horizontal="center"/>
      <protection/>
    </xf>
    <xf numFmtId="3" fontId="15" fillId="0" borderId="0" xfId="0" applyNumberFormat="1" applyFont="1" applyAlignment="1">
      <alignment horizontal="left" vertical="top" wrapText="1"/>
    </xf>
    <xf numFmtId="3" fontId="89" fillId="38" borderId="0" xfId="0" applyNumberFormat="1" applyFont="1" applyFill="1" applyBorder="1" applyAlignment="1" applyProtection="1">
      <alignment horizontal="center"/>
      <protection/>
    </xf>
    <xf numFmtId="170" fontId="0" fillId="0" borderId="0" xfId="68" applyFont="1" applyAlignment="1">
      <alignment horizontal="left" vertical="top" wrapText="1"/>
      <protection/>
    </xf>
    <xf numFmtId="170" fontId="0" fillId="0" borderId="0" xfId="68" applyFont="1" applyAlignment="1">
      <alignment horizontal="left" vertical="top" wrapText="1"/>
      <protection/>
    </xf>
    <xf numFmtId="0" fontId="81" fillId="41" borderId="0" xfId="67" applyFont="1" applyFill="1" applyAlignment="1" applyProtection="1">
      <alignment horizontal="center"/>
      <protection/>
    </xf>
    <xf numFmtId="0" fontId="2" fillId="37" borderId="0" xfId="67" applyFont="1" applyFill="1" applyAlignment="1" applyProtection="1">
      <alignment horizontal="left"/>
      <protection/>
    </xf>
    <xf numFmtId="170" fontId="81" fillId="41" borderId="0" xfId="0" applyFont="1" applyFill="1" applyBorder="1" applyAlignment="1" applyProtection="1">
      <alignment horizontal="center" vertical="center"/>
      <protection/>
    </xf>
    <xf numFmtId="170" fontId="0" fillId="0" borderId="11" xfId="0" applyFont="1" applyBorder="1" applyAlignment="1" applyProtection="1">
      <alignment horizontal="left"/>
      <protection/>
    </xf>
    <xf numFmtId="170" fontId="0" fillId="0" borderId="13" xfId="0" applyFont="1" applyFill="1" applyBorder="1" applyAlignment="1" applyProtection="1">
      <alignment horizontal="left" vertical="top" wrapText="1"/>
      <protection/>
    </xf>
    <xf numFmtId="170" fontId="0" fillId="0" borderId="13" xfId="0" applyFont="1" applyFill="1" applyBorder="1" applyAlignment="1" applyProtection="1">
      <alignment horizontal="left" vertical="top" wrapText="1"/>
      <protection/>
    </xf>
    <xf numFmtId="170" fontId="0" fillId="0" borderId="0" xfId="0" applyFont="1" applyFill="1" applyBorder="1" applyAlignment="1" applyProtection="1">
      <alignment horizontal="left" vertical="top" wrapText="1"/>
      <protection/>
    </xf>
    <xf numFmtId="170" fontId="0" fillId="0" borderId="0" xfId="0" applyFont="1" applyFill="1" applyBorder="1" applyAlignment="1" applyProtection="1">
      <alignment horizontal="left" vertical="top" wrapText="1"/>
      <protection/>
    </xf>
    <xf numFmtId="170" fontId="0" fillId="0" borderId="11" xfId="0" applyFont="1" applyFill="1" applyBorder="1" applyAlignment="1" applyProtection="1">
      <alignment horizontal="left" vertical="top"/>
      <protection/>
    </xf>
    <xf numFmtId="170" fontId="6" fillId="0" borderId="0" xfId="0" applyFont="1" applyFill="1" applyAlignment="1" applyProtection="1">
      <alignment horizontal="center"/>
      <protection/>
    </xf>
    <xf numFmtId="170" fontId="8" fillId="0" borderId="0" xfId="0" applyFont="1" applyFill="1" applyAlignment="1" applyProtection="1">
      <alignment horizontal="center"/>
      <protection/>
    </xf>
    <xf numFmtId="170" fontId="0" fillId="0" borderId="0" xfId="0" applyFill="1" applyAlignment="1" applyProtection="1">
      <alignment vertical="top"/>
      <protection/>
    </xf>
    <xf numFmtId="170" fontId="90" fillId="0" borderId="0" xfId="0" applyFont="1" applyFill="1" applyBorder="1" applyAlignment="1" applyProtection="1">
      <alignment horizontal="left" vertical="top" wrapText="1"/>
      <protection/>
    </xf>
    <xf numFmtId="170" fontId="0" fillId="0" borderId="0" xfId="0" applyAlignment="1">
      <alignment horizontal="left" vertical="top" wrapText="1"/>
    </xf>
    <xf numFmtId="170" fontId="80" fillId="41" borderId="0" xfId="68" applyFont="1" applyFill="1" applyAlignment="1">
      <alignment horizontal="center" vertical="center"/>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 ($1,234) L Black" xfId="44"/>
    <cellStyle name="Curr ($1,234) U Blue" xfId="45"/>
    <cellStyle name="Curr ($1,234.00) L Black" xfId="46"/>
    <cellStyle name="Curr ($1,234.00) U Blue" xfId="47"/>
    <cellStyle name="Curr (1,234) L Black" xfId="48"/>
    <cellStyle name="Curr (1,234) U Blue" xfId="49"/>
    <cellStyle name="Curr (1,234.0) L Black" xfId="50"/>
    <cellStyle name="Curr (1,234.0) U Blue" xfId="51"/>
    <cellStyle name="Curr (1,234.00) L Black" xfId="52"/>
    <cellStyle name="Curr (1,234.00) U Blue"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3" xfId="67"/>
    <cellStyle name="Normal_Farrow-Wean 500" xfId="68"/>
    <cellStyle name="Note" xfId="69"/>
    <cellStyle name="Num (1,234) L Black" xfId="70"/>
    <cellStyle name="Num (1,234) U Blue" xfId="71"/>
    <cellStyle name="Num (1,234.0) L Black" xfId="72"/>
    <cellStyle name="Num (1,234.0) U Blue" xfId="73"/>
    <cellStyle name="Num (1,234.10) L Black" xfId="74"/>
    <cellStyle name="Num (1,234.10) U Blue" xfId="75"/>
    <cellStyle name="Output" xfId="76"/>
    <cellStyle name="Percent" xfId="77"/>
    <cellStyle name="Percent 00.00% L Black" xfId="78"/>
    <cellStyle name="Percent 00.00% U Blue" xfId="79"/>
    <cellStyle name="Standard_Anpassen der Amortisation" xfId="80"/>
    <cellStyle name="Title" xfId="81"/>
    <cellStyle name="Total" xfId="82"/>
    <cellStyle name="Währung [0]_Compiling Utility Macros" xfId="83"/>
    <cellStyle name="Währung_Compiling Utility Macros"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inancial-management/cost-of-production.html" TargetMode="External" /><Relationship Id="rId3" Type="http://schemas.openxmlformats.org/officeDocument/2006/relationships/hyperlink" Target="http://www.gov.mb.ca/agriculture/contact/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gov.mb.ca/agriculture/business-and-economics/farm-business-management-contacts.html" TargetMode="External" /><Relationship Id="rId2" Type="http://schemas.openxmlformats.org/officeDocument/2006/relationships/hyperlink" Target="http://www.gov.mb.ca/agriculture/contac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xdr:colOff>
      <xdr:row>0</xdr:row>
      <xdr:rowOff>180975</xdr:rowOff>
    </xdr:from>
    <xdr:to>
      <xdr:col>9</xdr:col>
      <xdr:colOff>342900</xdr:colOff>
      <xdr:row>2</xdr:row>
      <xdr:rowOff>161925</xdr:rowOff>
    </xdr:to>
    <xdr:pic>
      <xdr:nvPicPr>
        <xdr:cNvPr id="1" name="Picture 2" descr="GovMB_Logo_black-1374 10percent.jpg"/>
        <xdr:cNvPicPr preferRelativeResize="1">
          <a:picLocks noChangeAspect="1"/>
        </xdr:cNvPicPr>
      </xdr:nvPicPr>
      <xdr:blipFill>
        <a:blip r:embed="rId1"/>
        <a:stretch>
          <a:fillRect/>
        </a:stretch>
      </xdr:blipFill>
      <xdr:spPr>
        <a:xfrm>
          <a:off x="5295900" y="180975"/>
          <a:ext cx="1819275" cy="361950"/>
        </a:xfrm>
        <a:prstGeom prst="rect">
          <a:avLst/>
        </a:prstGeom>
        <a:noFill/>
        <a:ln w="9525" cmpd="sng">
          <a:noFill/>
        </a:ln>
      </xdr:spPr>
    </xdr:pic>
    <xdr:clientData/>
  </xdr:twoCellAnchor>
  <xdr:twoCellAnchor>
    <xdr:from>
      <xdr:col>5</xdr:col>
      <xdr:colOff>152400</xdr:colOff>
      <xdr:row>37</xdr:row>
      <xdr:rowOff>200025</xdr:rowOff>
    </xdr:from>
    <xdr:to>
      <xdr:col>9</xdr:col>
      <xdr:colOff>161925</xdr:colOff>
      <xdr:row>39</xdr:row>
      <xdr:rowOff>0</xdr:rowOff>
    </xdr:to>
    <xdr:sp>
      <xdr:nvSpPr>
        <xdr:cNvPr id="2" name="TextBox 6">
          <a:hlinkClick r:id="rId2"/>
        </xdr:cNvPr>
        <xdr:cNvSpPr txBox="1">
          <a:spLocks noChangeArrowheads="1"/>
        </xdr:cNvSpPr>
      </xdr:nvSpPr>
      <xdr:spPr>
        <a:xfrm>
          <a:off x="4314825" y="8058150"/>
          <a:ext cx="2619375" cy="2667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www.manitoba.ca/agriculture</a:t>
          </a:r>
        </a:p>
      </xdr:txBody>
    </xdr:sp>
    <xdr:clientData/>
  </xdr:twoCellAnchor>
  <xdr:twoCellAnchor>
    <xdr:from>
      <xdr:col>2</xdr:col>
      <xdr:colOff>323850</xdr:colOff>
      <xdr:row>38</xdr:row>
      <xdr:rowOff>200025</xdr:rowOff>
    </xdr:from>
    <xdr:to>
      <xdr:col>5</xdr:col>
      <xdr:colOff>9525</xdr:colOff>
      <xdr:row>39</xdr:row>
      <xdr:rowOff>219075</xdr:rowOff>
    </xdr:to>
    <xdr:sp>
      <xdr:nvSpPr>
        <xdr:cNvPr id="3" name="TextBox 7">
          <a:hlinkClick r:id="rId3"/>
        </xdr:cNvPr>
        <xdr:cNvSpPr txBox="1">
          <a:spLocks noChangeArrowheads="1"/>
        </xdr:cNvSpPr>
      </xdr:nvSpPr>
      <xdr:spPr>
        <a:xfrm>
          <a:off x="1800225" y="8296275"/>
          <a:ext cx="2371725" cy="24765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Manitoba Agriculture office.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33</xdr:row>
      <xdr:rowOff>9525</xdr:rowOff>
    </xdr:from>
    <xdr:to>
      <xdr:col>8</xdr:col>
      <xdr:colOff>0</xdr:colOff>
      <xdr:row>34</xdr:row>
      <xdr:rowOff>38100</xdr:rowOff>
    </xdr:to>
    <xdr:sp>
      <xdr:nvSpPr>
        <xdr:cNvPr id="1" name="TextBox 1">
          <a:hlinkClick r:id="rId1"/>
        </xdr:cNvPr>
        <xdr:cNvSpPr txBox="1">
          <a:spLocks noChangeArrowheads="1"/>
        </xdr:cNvSpPr>
      </xdr:nvSpPr>
      <xdr:spPr>
        <a:xfrm>
          <a:off x="2190750" y="5905500"/>
          <a:ext cx="4048125" cy="257175"/>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Manitoba Agriculture Farm Management</a:t>
          </a:r>
        </a:p>
      </xdr:txBody>
    </xdr:sp>
    <xdr:clientData/>
  </xdr:twoCellAnchor>
  <xdr:twoCellAnchor>
    <xdr:from>
      <xdr:col>4</xdr:col>
      <xdr:colOff>152400</xdr:colOff>
      <xdr:row>33</xdr:row>
      <xdr:rowOff>219075</xdr:rowOff>
    </xdr:from>
    <xdr:to>
      <xdr:col>8</xdr:col>
      <xdr:colOff>0</xdr:colOff>
      <xdr:row>34</xdr:row>
      <xdr:rowOff>247650</xdr:rowOff>
    </xdr:to>
    <xdr:sp>
      <xdr:nvSpPr>
        <xdr:cNvPr id="2" name="TextBox 2">
          <a:hlinkClick r:id="rId2"/>
        </xdr:cNvPr>
        <xdr:cNvSpPr txBox="1">
          <a:spLocks noChangeArrowheads="1"/>
        </xdr:cNvSpPr>
      </xdr:nvSpPr>
      <xdr:spPr>
        <a:xfrm>
          <a:off x="3362325" y="6115050"/>
          <a:ext cx="2876550" cy="257175"/>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Office </a:t>
          </a:r>
          <a:r>
            <a:rPr lang="en-US" cap="none" sz="1200" b="1" i="0" u="none" baseline="0">
              <a:solidFill>
                <a:srgbClr val="000000"/>
              </a:solidFill>
              <a:latin typeface="Arial"/>
              <a:ea typeface="Arial"/>
              <a:cs typeface="Arial"/>
            </a:rPr>
            <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jeff.eastman@gov.mb.ca" TargetMode="External" /><Relationship Id="rId2" Type="http://schemas.openxmlformats.org/officeDocument/2006/relationships/hyperlink" Target="mailto:darren.bond@gov.mb.ca" TargetMode="Externa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J48"/>
  <sheetViews>
    <sheetView showGridLines="0" tabSelected="1" workbookViewId="0" topLeftCell="A1">
      <selection activeCell="A1" sqref="A1"/>
    </sheetView>
  </sheetViews>
  <sheetFormatPr defaultColWidth="8.88671875" defaultRowHeight="15"/>
  <cols>
    <col min="1" max="1" width="6.4453125" style="0" customWidth="1"/>
    <col min="2" max="2" width="10.77734375" style="0" customWidth="1"/>
    <col min="4" max="4" width="13.5546875" style="0" customWidth="1"/>
    <col min="6" max="6" width="12.5546875" style="0" customWidth="1"/>
    <col min="9" max="9" width="0.10546875" style="0" customWidth="1"/>
    <col min="10" max="10" width="4.99609375" style="0" customWidth="1"/>
  </cols>
  <sheetData>
    <row r="1" s="191" customFormat="1" ht="15"/>
    <row r="2" spans="1:10" s="191" customFormat="1" ht="15">
      <c r="A2" s="192"/>
      <c r="B2" s="192"/>
      <c r="C2" s="192"/>
      <c r="D2" s="192"/>
      <c r="E2" s="192"/>
      <c r="F2" s="192"/>
      <c r="G2" s="192"/>
      <c r="H2" s="192"/>
      <c r="I2" s="192"/>
      <c r="J2" s="192"/>
    </row>
    <row r="3" spans="1:10" s="195" customFormat="1" ht="27">
      <c r="A3" s="193" t="s">
        <v>258</v>
      </c>
      <c r="B3" s="194"/>
      <c r="C3" s="194"/>
      <c r="D3" s="194"/>
      <c r="E3" s="194"/>
      <c r="F3" s="194"/>
      <c r="G3" s="194"/>
      <c r="H3" s="194"/>
      <c r="I3" s="194"/>
      <c r="J3" s="194"/>
    </row>
    <row r="4" spans="1:10" s="195" customFormat="1" ht="15" customHeight="1">
      <c r="A4" s="193"/>
      <c r="B4" s="194"/>
      <c r="C4" s="194"/>
      <c r="D4" s="194"/>
      <c r="E4" s="194"/>
      <c r="F4" s="194"/>
      <c r="G4" s="194"/>
      <c r="H4" s="194"/>
      <c r="I4" s="194"/>
      <c r="J4" s="194"/>
    </row>
    <row r="5" spans="2:8" ht="20.25">
      <c r="B5" s="435" t="s">
        <v>174</v>
      </c>
      <c r="C5" s="436"/>
      <c r="D5" s="436"/>
      <c r="E5" s="436"/>
      <c r="F5" s="436"/>
      <c r="G5" s="436"/>
      <c r="H5" s="436"/>
    </row>
    <row r="6" spans="2:9" ht="25.5">
      <c r="B6" s="433" t="str">
        <f>"Aquaculture ("&amp;'Finish Input'!I10*1000&amp;"g to "&amp;'Finish Input'!J18&amp;"kg) Production Costs"</f>
        <v>Aquaculture (20g to 2kg) Production Costs</v>
      </c>
      <c r="C6" s="434"/>
      <c r="D6" s="434"/>
      <c r="E6" s="434"/>
      <c r="F6" s="434"/>
      <c r="G6" s="434"/>
      <c r="H6" s="434"/>
      <c r="I6" s="25"/>
    </row>
    <row r="7" spans="2:8" ht="20.25">
      <c r="B7" s="437" t="str">
        <f>"Based On Marketing "&amp;FIXED('Finish Input'!C58,0)&amp;" Kg/Year "</f>
        <v>Based On Marketing 120,050 Kg/Year </v>
      </c>
      <c r="C7" s="438"/>
      <c r="D7" s="438"/>
      <c r="E7" s="438"/>
      <c r="F7" s="438"/>
      <c r="G7" s="438"/>
      <c r="H7" s="438"/>
    </row>
    <row r="11" ht="14.25" customHeight="1"/>
    <row r="12" spans="6:7" ht="15.75" customHeight="1">
      <c r="F12" s="20" t="s">
        <v>236</v>
      </c>
      <c r="G12" s="104" t="s">
        <v>421</v>
      </c>
    </row>
    <row r="14" spans="6:7" ht="15.75">
      <c r="F14" s="20"/>
      <c r="G14" s="104"/>
    </row>
    <row r="15" spans="6:7" ht="15.75">
      <c r="F15" s="20"/>
      <c r="G15" s="104"/>
    </row>
    <row r="17" spans="2:9" s="196" customFormat="1" ht="15" customHeight="1">
      <c r="B17" s="439" t="s">
        <v>374</v>
      </c>
      <c r="C17" s="439"/>
      <c r="D17" s="439"/>
      <c r="E17" s="439"/>
      <c r="F17" s="439"/>
      <c r="G17" s="439"/>
      <c r="H17" s="439"/>
      <c r="I17" s="439"/>
    </row>
    <row r="18" spans="2:9" s="196" customFormat="1" ht="15" customHeight="1">
      <c r="B18" s="439"/>
      <c r="C18" s="439"/>
      <c r="D18" s="439"/>
      <c r="E18" s="439"/>
      <c r="F18" s="439"/>
      <c r="G18" s="439"/>
      <c r="H18" s="439"/>
      <c r="I18" s="439"/>
    </row>
    <row r="19" spans="2:9" s="196" customFormat="1" ht="18.75" customHeight="1">
      <c r="B19" s="439"/>
      <c r="C19" s="439"/>
      <c r="D19" s="439"/>
      <c r="E19" s="439"/>
      <c r="F19" s="439"/>
      <c r="G19" s="439"/>
      <c r="H19" s="439"/>
      <c r="I19" s="439"/>
    </row>
    <row r="20" spans="2:9" s="196" customFormat="1" ht="18.75" customHeight="1">
      <c r="B20" s="439"/>
      <c r="C20" s="439"/>
      <c r="D20" s="439"/>
      <c r="E20" s="439"/>
      <c r="F20" s="439"/>
      <c r="G20" s="439"/>
      <c r="H20" s="439"/>
      <c r="I20" s="439"/>
    </row>
    <row r="21" spans="2:9" s="196" customFormat="1" ht="18.75" customHeight="1">
      <c r="B21" s="439"/>
      <c r="C21" s="439"/>
      <c r="D21" s="439"/>
      <c r="E21" s="439"/>
      <c r="F21" s="439"/>
      <c r="G21" s="439"/>
      <c r="H21" s="439"/>
      <c r="I21" s="439"/>
    </row>
    <row r="22" spans="2:9" s="196" customFormat="1" ht="18.75" customHeight="1">
      <c r="B22" s="439"/>
      <c r="C22" s="439"/>
      <c r="D22" s="439"/>
      <c r="E22" s="439"/>
      <c r="F22" s="439"/>
      <c r="G22" s="439"/>
      <c r="H22" s="439"/>
      <c r="I22" s="439"/>
    </row>
    <row r="23" spans="2:9" s="196" customFormat="1" ht="18.75" customHeight="1">
      <c r="B23" s="439"/>
      <c r="C23" s="439"/>
      <c r="D23" s="439"/>
      <c r="E23" s="439"/>
      <c r="F23" s="439"/>
      <c r="G23" s="439"/>
      <c r="H23" s="439"/>
      <c r="I23" s="439"/>
    </row>
    <row r="24" spans="2:9" s="196" customFormat="1" ht="18.75" customHeight="1">
      <c r="B24" s="439"/>
      <c r="C24" s="439"/>
      <c r="D24" s="439"/>
      <c r="E24" s="439"/>
      <c r="F24" s="439"/>
      <c r="G24" s="439"/>
      <c r="H24" s="439"/>
      <c r="I24" s="439"/>
    </row>
    <row r="25" spans="2:9" s="196" customFormat="1" ht="18">
      <c r="B25" s="197"/>
      <c r="C25" s="197"/>
      <c r="D25" s="197"/>
      <c r="E25" s="197"/>
      <c r="F25" s="197"/>
      <c r="G25" s="197"/>
      <c r="H25" s="197"/>
      <c r="I25" s="197"/>
    </row>
    <row r="26" spans="2:9" s="196" customFormat="1" ht="15" customHeight="1">
      <c r="B26" s="439" t="s">
        <v>435</v>
      </c>
      <c r="C26" s="439"/>
      <c r="D26" s="439"/>
      <c r="E26" s="439"/>
      <c r="F26" s="439"/>
      <c r="G26" s="439"/>
      <c r="H26" s="439"/>
      <c r="I26" s="439"/>
    </row>
    <row r="27" spans="2:9" s="196" customFormat="1" ht="15" customHeight="1">
      <c r="B27" s="439"/>
      <c r="C27" s="439"/>
      <c r="D27" s="439"/>
      <c r="E27" s="439"/>
      <c r="F27" s="439"/>
      <c r="G27" s="439"/>
      <c r="H27" s="439"/>
      <c r="I27" s="439"/>
    </row>
    <row r="28" spans="2:9" s="196" customFormat="1" ht="15" customHeight="1">
      <c r="B28" s="439"/>
      <c r="C28" s="439"/>
      <c r="D28" s="439"/>
      <c r="E28" s="439"/>
      <c r="F28" s="439"/>
      <c r="G28" s="439"/>
      <c r="H28" s="439"/>
      <c r="I28" s="439"/>
    </row>
    <row r="29" spans="2:9" s="196" customFormat="1" ht="15" customHeight="1">
      <c r="B29" s="439"/>
      <c r="C29" s="439"/>
      <c r="D29" s="439"/>
      <c r="E29" s="439"/>
      <c r="F29" s="439"/>
      <c r="G29" s="439"/>
      <c r="H29" s="439"/>
      <c r="I29" s="439"/>
    </row>
    <row r="30" spans="2:9" s="196" customFormat="1" ht="15" customHeight="1">
      <c r="B30" s="439"/>
      <c r="C30" s="439"/>
      <c r="D30" s="439"/>
      <c r="E30" s="439"/>
      <c r="F30" s="439"/>
      <c r="G30" s="439"/>
      <c r="H30" s="439"/>
      <c r="I30" s="439"/>
    </row>
    <row r="31" spans="2:9" s="196" customFormat="1" ht="15" customHeight="1">
      <c r="B31" s="439"/>
      <c r="C31" s="439"/>
      <c r="D31" s="439"/>
      <c r="E31" s="439"/>
      <c r="F31" s="439"/>
      <c r="G31" s="439"/>
      <c r="H31" s="439"/>
      <c r="I31" s="439"/>
    </row>
    <row r="32" spans="2:9" s="196" customFormat="1" ht="15" customHeight="1">
      <c r="B32" s="439"/>
      <c r="C32" s="439"/>
      <c r="D32" s="439"/>
      <c r="E32" s="439"/>
      <c r="F32" s="439"/>
      <c r="G32" s="439"/>
      <c r="H32" s="439"/>
      <c r="I32" s="439"/>
    </row>
    <row r="33" spans="2:9" s="196" customFormat="1" ht="15" customHeight="1">
      <c r="B33" s="439"/>
      <c r="C33" s="439"/>
      <c r="D33" s="439"/>
      <c r="E33" s="439"/>
      <c r="F33" s="439"/>
      <c r="G33" s="439"/>
      <c r="H33" s="439"/>
      <c r="I33" s="439"/>
    </row>
    <row r="34" spans="2:9" s="196" customFormat="1" ht="15" customHeight="1">
      <c r="B34" s="439"/>
      <c r="C34" s="439"/>
      <c r="D34" s="439"/>
      <c r="E34" s="439"/>
      <c r="F34" s="439"/>
      <c r="G34" s="439"/>
      <c r="H34" s="439"/>
      <c r="I34" s="439"/>
    </row>
    <row r="35" spans="2:9" s="196" customFormat="1" ht="15" customHeight="1">
      <c r="B35" s="439"/>
      <c r="C35" s="439"/>
      <c r="D35" s="439"/>
      <c r="E35" s="439"/>
      <c r="F35" s="439"/>
      <c r="G35" s="439"/>
      <c r="H35" s="439"/>
      <c r="I35" s="439"/>
    </row>
    <row r="36" spans="2:9" s="196" customFormat="1" ht="15" customHeight="1">
      <c r="B36" s="439"/>
      <c r="C36" s="439"/>
      <c r="D36" s="439"/>
      <c r="E36" s="439"/>
      <c r="F36" s="439"/>
      <c r="G36" s="439"/>
      <c r="H36" s="439"/>
      <c r="I36" s="439"/>
    </row>
    <row r="37" spans="2:9" s="196" customFormat="1" ht="18.75" customHeight="1">
      <c r="B37" s="439"/>
      <c r="C37" s="439"/>
      <c r="D37" s="439"/>
      <c r="E37" s="439"/>
      <c r="F37" s="439"/>
      <c r="G37" s="439"/>
      <c r="H37" s="439"/>
      <c r="I37" s="439"/>
    </row>
    <row r="38" spans="2:9" s="196" customFormat="1" ht="18.75" customHeight="1">
      <c r="B38" s="201"/>
      <c r="C38" s="201"/>
      <c r="D38" s="201"/>
      <c r="E38" s="201"/>
      <c r="F38" s="201"/>
      <c r="G38" s="201"/>
      <c r="H38" s="201"/>
      <c r="I38" s="201"/>
    </row>
    <row r="39" spans="2:10" s="191" customFormat="1" ht="18" customHeight="1">
      <c r="B39" s="202" t="s">
        <v>261</v>
      </c>
      <c r="C39" s="202"/>
      <c r="D39" s="202"/>
      <c r="E39" s="202"/>
      <c r="F39" s="202"/>
      <c r="G39" s="202"/>
      <c r="H39" s="202"/>
      <c r="I39" s="202"/>
      <c r="J39" s="202"/>
    </row>
    <row r="40" spans="2:10" s="191" customFormat="1" ht="20.25" customHeight="1">
      <c r="B40" s="203" t="s">
        <v>262</v>
      </c>
      <c r="C40" s="202"/>
      <c r="D40" s="202"/>
      <c r="E40" s="202"/>
      <c r="F40" s="202"/>
      <c r="G40" s="202"/>
      <c r="H40" s="202"/>
      <c r="I40" s="202"/>
      <c r="J40" s="202"/>
    </row>
    <row r="41" spans="2:9" s="196" customFormat="1" ht="15" customHeight="1">
      <c r="B41" s="197"/>
      <c r="C41" s="197"/>
      <c r="D41" s="197"/>
      <c r="E41" s="197"/>
      <c r="F41" s="197"/>
      <c r="G41" s="197"/>
      <c r="H41" s="197"/>
      <c r="I41" s="197"/>
    </row>
    <row r="42" spans="2:10" s="191" customFormat="1" ht="18" customHeight="1">
      <c r="B42" s="440" t="s">
        <v>373</v>
      </c>
      <c r="C42" s="440"/>
      <c r="D42" s="440"/>
      <c r="E42" s="440"/>
      <c r="F42" s="440"/>
      <c r="G42" s="440"/>
      <c r="H42" s="440"/>
      <c r="I42" s="440"/>
      <c r="J42" s="198"/>
    </row>
    <row r="43" spans="2:10" s="191" customFormat="1" ht="18" customHeight="1">
      <c r="B43" s="440"/>
      <c r="C43" s="440"/>
      <c r="D43" s="440"/>
      <c r="E43" s="440"/>
      <c r="F43" s="440"/>
      <c r="G43" s="440"/>
      <c r="H43" s="440"/>
      <c r="I43" s="440"/>
      <c r="J43" s="198"/>
    </row>
    <row r="44" spans="2:10" s="191" customFormat="1" ht="18" customHeight="1">
      <c r="B44" s="440"/>
      <c r="C44" s="440"/>
      <c r="D44" s="440"/>
      <c r="E44" s="440"/>
      <c r="F44" s="440"/>
      <c r="G44" s="440"/>
      <c r="H44" s="440"/>
      <c r="I44" s="440"/>
      <c r="J44" s="198"/>
    </row>
    <row r="45" spans="2:8" ht="15.75" customHeight="1">
      <c r="B45" s="25"/>
      <c r="C45" s="25"/>
      <c r="D45" s="25"/>
      <c r="E45" s="25"/>
      <c r="F45" s="25"/>
      <c r="G45" s="25"/>
      <c r="H45" s="25"/>
    </row>
    <row r="46" ht="15.75" customHeight="1">
      <c r="B46" s="12"/>
    </row>
    <row r="47" ht="15.75" customHeight="1">
      <c r="B47" s="12"/>
    </row>
    <row r="48" ht="15.75" customHeight="1">
      <c r="B48" s="12"/>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sheetData>
  <sheetProtection password="C6A6" sheet="1"/>
  <mergeCells count="6">
    <mergeCell ref="B6:H6"/>
    <mergeCell ref="B5:H5"/>
    <mergeCell ref="B7:H7"/>
    <mergeCell ref="B17:I24"/>
    <mergeCell ref="B26:I37"/>
    <mergeCell ref="B42:I44"/>
  </mergeCells>
  <printOptions/>
  <pageMargins left="0.7480314960629921" right="0.7480314960629921" top="0.6299212598425197" bottom="0.984251968503937" header="0.5118110236220472" footer="0.5118110236220472"/>
  <pageSetup fitToHeight="1" fitToWidth="1" horizontalDpi="600" verticalDpi="600" orientation="portrait" scale="80" r:id="rId3"/>
  <drawing r:id="rId2"/>
  <legacyDrawing r:id="rId1"/>
</worksheet>
</file>

<file path=xl/worksheets/sheet10.xml><?xml version="1.0" encoding="utf-8"?>
<worksheet xmlns="http://schemas.openxmlformats.org/spreadsheetml/2006/main" xmlns:r="http://schemas.openxmlformats.org/officeDocument/2006/relationships">
  <sheetPr codeName="Sheet10"/>
  <dimension ref="B3:J63"/>
  <sheetViews>
    <sheetView zoomScalePageLayoutView="0" workbookViewId="0" topLeftCell="D1">
      <selection activeCell="F13" sqref="F13"/>
    </sheetView>
  </sheetViews>
  <sheetFormatPr defaultColWidth="11.4453125" defaultRowHeight="15"/>
  <sheetData>
    <row r="3" ht="15">
      <c r="B3" t="s">
        <v>6</v>
      </c>
    </row>
    <row r="4" spans="2:10" ht="15">
      <c r="B4" s="1" t="s">
        <v>4</v>
      </c>
      <c r="C4" t="s">
        <v>7</v>
      </c>
      <c r="D4" s="1"/>
      <c r="E4" s="1"/>
      <c r="F4" s="1"/>
      <c r="I4" s="1" t="s">
        <v>4</v>
      </c>
      <c r="J4" s="1" t="s">
        <v>4</v>
      </c>
    </row>
    <row r="5" spans="2:10" ht="15">
      <c r="B5" s="1" t="s">
        <v>4</v>
      </c>
      <c r="C5" s="1" t="s">
        <v>4</v>
      </c>
      <c r="D5" s="1" t="s">
        <v>4</v>
      </c>
      <c r="E5" s="1" t="s">
        <v>4</v>
      </c>
      <c r="F5" s="1" t="s">
        <v>4</v>
      </c>
      <c r="G5" s="1" t="s">
        <v>4</v>
      </c>
      <c r="H5" s="1" t="s">
        <v>4</v>
      </c>
      <c r="I5" s="1" t="s">
        <v>4</v>
      </c>
      <c r="J5" s="1" t="s">
        <v>4</v>
      </c>
    </row>
    <row r="6" ht="15">
      <c r="B6" t="s">
        <v>6</v>
      </c>
    </row>
    <row r="7" spans="2:10" ht="15">
      <c r="B7" t="s">
        <v>9</v>
      </c>
      <c r="C7" t="s">
        <v>10</v>
      </c>
      <c r="D7" s="1"/>
      <c r="E7" s="1"/>
      <c r="F7" s="1"/>
      <c r="G7" s="1"/>
      <c r="H7" s="8" t="s">
        <v>11</v>
      </c>
      <c r="I7" s="8" t="s">
        <v>15</v>
      </c>
      <c r="J7" s="8" t="s">
        <v>12</v>
      </c>
    </row>
    <row r="8" spans="2:8" ht="15">
      <c r="B8" s="1" t="s">
        <v>4</v>
      </c>
      <c r="C8" t="s">
        <v>17</v>
      </c>
      <c r="D8" t="s">
        <v>18</v>
      </c>
      <c r="E8" s="1"/>
      <c r="F8" s="1" t="s">
        <v>4</v>
      </c>
      <c r="G8" s="1" t="s">
        <v>4</v>
      </c>
      <c r="H8" t="s">
        <v>19</v>
      </c>
    </row>
    <row r="9" spans="2:10" ht="15">
      <c r="B9" s="1" t="s">
        <v>4</v>
      </c>
      <c r="C9" s="1" t="s">
        <v>4</v>
      </c>
      <c r="D9" t="s">
        <v>185</v>
      </c>
      <c r="E9" t="s">
        <v>23</v>
      </c>
      <c r="F9" s="1"/>
      <c r="G9" s="1"/>
      <c r="H9" s="3" t="e">
        <f>ROUND(#REF!*#REF!*#REF!*#REF!/1000*#REF!,2)</f>
        <v>#REF!</v>
      </c>
      <c r="I9" s="4" t="e">
        <f>ROUND(J9/'Finish Input'!$H$34,2)</f>
        <v>#REF!</v>
      </c>
      <c r="J9" s="4" t="e">
        <f>ROUND(#REF!*#REF!*#REF!*#REF!/1000,2)</f>
        <v>#REF!</v>
      </c>
    </row>
    <row r="10" spans="2:10" ht="15">
      <c r="B10" s="1" t="s">
        <v>4</v>
      </c>
      <c r="C10" s="1" t="s">
        <v>4</v>
      </c>
      <c r="D10" t="s">
        <v>26</v>
      </c>
      <c r="E10" t="s">
        <v>27</v>
      </c>
      <c r="F10" s="1"/>
      <c r="G10" s="1"/>
      <c r="H10" s="3" t="e">
        <f>ROUND((365-#REF!*#REF!)*#REF!*#REF!/1000*#REF!,2)</f>
        <v>#REF!</v>
      </c>
      <c r="I10" s="4" t="e">
        <f>ROUND(J10/'Finish Input'!$H$34,2)</f>
        <v>#REF!</v>
      </c>
      <c r="J10" s="4" t="e">
        <f>ROUND((365-#REF!*#REF!)*#REF!*#REF!/1000,2)</f>
        <v>#REF!</v>
      </c>
    </row>
    <row r="11" spans="2:10" ht="15">
      <c r="B11" s="1" t="s">
        <v>4</v>
      </c>
      <c r="C11" s="1" t="s">
        <v>4</v>
      </c>
      <c r="D11" t="s">
        <v>30</v>
      </c>
      <c r="E11" t="s">
        <v>31</v>
      </c>
      <c r="F11" s="1"/>
      <c r="G11" s="1"/>
      <c r="H11" s="3" t="e">
        <f>ROUND(365*#REF!*#REF!/1000*#REF!/#REF!*#REF!,2)</f>
        <v>#REF!</v>
      </c>
      <c r="I11" s="4" t="e">
        <f>ROUND(J11/'Finish Input'!$H$34,2)</f>
        <v>#REF!</v>
      </c>
      <c r="J11" s="4" t="e">
        <f>ROUND(365*#REF!*#REF!/1000*#REF!/#REF!,2)</f>
        <v>#REF!</v>
      </c>
    </row>
    <row r="12" spans="2:10" ht="15">
      <c r="B12" s="1" t="s">
        <v>4</v>
      </c>
      <c r="C12" s="1" t="s">
        <v>4</v>
      </c>
      <c r="D12" t="s">
        <v>35</v>
      </c>
      <c r="E12" t="s">
        <v>36</v>
      </c>
      <c r="F12" s="1"/>
      <c r="G12" s="1"/>
      <c r="H12" s="3" t="e">
        <f>ROUND(#REF!*#REF!/1000*#REF!*#REF!,2)</f>
        <v>#REF!</v>
      </c>
      <c r="I12" s="4" t="e">
        <f>ROUND(J12/'Finish Input'!$H$34,2)</f>
        <v>#REF!</v>
      </c>
      <c r="J12" s="4" t="e">
        <f>ROUND(#REF!*#REF!/1000*#REF!,2)</f>
        <v>#REF!</v>
      </c>
    </row>
    <row r="13" spans="2:10" ht="15">
      <c r="B13" s="1" t="s">
        <v>4</v>
      </c>
      <c r="C13" s="1" t="s">
        <v>4</v>
      </c>
      <c r="D13" t="s">
        <v>38</v>
      </c>
      <c r="E13" t="s">
        <v>39</v>
      </c>
      <c r="F13" s="1"/>
      <c r="G13" s="1"/>
      <c r="H13" s="3" t="e">
        <f>ROUND(#REF!*#REF!/1000*#REF!*#REF!,2)</f>
        <v>#REF!</v>
      </c>
      <c r="I13" s="4" t="e">
        <f>ROUND(J13/'Finish Input'!$H$34,2)</f>
        <v>#REF!</v>
      </c>
      <c r="J13" s="4" t="e">
        <f>ROUND(#REF!*#REF!/1000*#REF!,2)</f>
        <v>#REF!</v>
      </c>
    </row>
    <row r="14" spans="4:10" ht="15">
      <c r="D14" t="s">
        <v>38</v>
      </c>
      <c r="E14" t="s">
        <v>41</v>
      </c>
      <c r="F14" s="1"/>
      <c r="G14" s="1"/>
      <c r="H14" s="3" t="e">
        <f>ROUND(#REF!*#REF!/1000*#REF!*#REF!,2)</f>
        <v>#REF!</v>
      </c>
      <c r="I14" s="4" t="e">
        <f>ROUND(J14/'Finish Input'!$H$34,2)</f>
        <v>#REF!</v>
      </c>
      <c r="J14" s="4" t="e">
        <f>ROUND(#REF!*#REF!/1000*#REF!,2)</f>
        <v>#REF!</v>
      </c>
    </row>
    <row r="15" spans="2:10" ht="15">
      <c r="B15" s="1" t="s">
        <v>4</v>
      </c>
      <c r="C15" s="1" t="s">
        <v>4</v>
      </c>
      <c r="D15" s="1" t="s">
        <v>4</v>
      </c>
      <c r="E15" s="1" t="s">
        <v>4</v>
      </c>
      <c r="F15" s="1" t="s">
        <v>4</v>
      </c>
      <c r="G15" s="1" t="s">
        <v>4</v>
      </c>
      <c r="H15" s="3" t="s">
        <v>5</v>
      </c>
      <c r="I15" s="4"/>
      <c r="J15" s="4"/>
    </row>
    <row r="16" spans="2:10" ht="15">
      <c r="B16" s="1" t="s">
        <v>4</v>
      </c>
      <c r="C16" s="1" t="s">
        <v>4</v>
      </c>
      <c r="D16" t="s">
        <v>40</v>
      </c>
      <c r="E16" s="1"/>
      <c r="F16" s="1"/>
      <c r="G16" s="1"/>
      <c r="H16" s="3" t="e">
        <f>J16*#REF!</f>
        <v>#REF!</v>
      </c>
      <c r="I16" s="4" t="e">
        <f>ROUND(J16/'Finish Input'!$H$34,2)</f>
        <v>#REF!</v>
      </c>
      <c r="J16" s="4" t="e">
        <f>SUM(J8:J15)</f>
        <v>#REF!</v>
      </c>
    </row>
    <row r="17" spans="2:10" ht="15">
      <c r="B17" s="1" t="s">
        <v>4</v>
      </c>
      <c r="C17" s="1" t="s">
        <v>4</v>
      </c>
      <c r="D17" s="1" t="s">
        <v>4</v>
      </c>
      <c r="E17" s="1" t="s">
        <v>4</v>
      </c>
      <c r="F17" s="1"/>
      <c r="G17" s="1"/>
      <c r="H17" s="6" t="s">
        <v>4</v>
      </c>
      <c r="I17" s="7" t="s">
        <v>4</v>
      </c>
      <c r="J17" s="7" t="s">
        <v>4</v>
      </c>
    </row>
    <row r="18" spans="2:10" ht="15">
      <c r="B18" s="1" t="s">
        <v>4</v>
      </c>
      <c r="C18" t="s">
        <v>25</v>
      </c>
      <c r="D18" t="s">
        <v>42</v>
      </c>
      <c r="E18" s="1"/>
      <c r="F18" s="1"/>
      <c r="G18" s="1"/>
      <c r="H18" s="6" t="s">
        <v>4</v>
      </c>
      <c r="I18" s="7" t="s">
        <v>4</v>
      </c>
      <c r="J18" s="7" t="s">
        <v>4</v>
      </c>
    </row>
    <row r="19" spans="2:10" ht="15">
      <c r="B19" s="1" t="s">
        <v>4</v>
      </c>
      <c r="C19" s="1" t="s">
        <v>4</v>
      </c>
      <c r="D19" t="s">
        <v>186</v>
      </c>
      <c r="E19" t="s">
        <v>55</v>
      </c>
      <c r="F19" s="1"/>
      <c r="G19" s="1"/>
      <c r="H19" s="6" t="s">
        <v>4</v>
      </c>
      <c r="I19" s="7" t="s">
        <v>4</v>
      </c>
      <c r="J19" s="4" t="s">
        <v>4</v>
      </c>
    </row>
    <row r="20" spans="2:10" ht="15">
      <c r="B20" s="1" t="s">
        <v>4</v>
      </c>
      <c r="C20" s="1" t="s">
        <v>4</v>
      </c>
      <c r="D20" s="1" t="s">
        <v>4</v>
      </c>
      <c r="E20" t="s">
        <v>60</v>
      </c>
      <c r="F20" s="1"/>
      <c r="G20" s="1"/>
      <c r="H20" s="3" t="e">
        <f>J20*#REF!</f>
        <v>#REF!</v>
      </c>
      <c r="I20" s="4" t="e">
        <f>ROUND(J20/'Finish Input'!$H$34,2)</f>
        <v>#REF!</v>
      </c>
      <c r="J20" s="4" t="e">
        <f>ROUND(#REF!,2)</f>
        <v>#REF!</v>
      </c>
    </row>
    <row r="21" spans="2:10" ht="15">
      <c r="B21" s="1" t="s">
        <v>4</v>
      </c>
      <c r="C21" s="1" t="s">
        <v>4</v>
      </c>
      <c r="D21" s="1" t="s">
        <v>4</v>
      </c>
      <c r="E21" t="s">
        <v>64</v>
      </c>
      <c r="F21" s="1"/>
      <c r="G21" s="1"/>
      <c r="H21" s="3" t="e">
        <f>J21*#REF!</f>
        <v>#REF!</v>
      </c>
      <c r="I21" s="4" t="e">
        <f>ROUND(J21/'Finish Input'!$H$34,2)</f>
        <v>#REF!</v>
      </c>
      <c r="J21" s="4" t="e">
        <f>ROUND(#REF!,2)</f>
        <v>#REF!</v>
      </c>
    </row>
    <row r="22" spans="2:10" ht="15">
      <c r="B22" s="1" t="s">
        <v>4</v>
      </c>
      <c r="C22" s="1" t="s">
        <v>4</v>
      </c>
      <c r="D22" t="s">
        <v>187</v>
      </c>
      <c r="E22" t="s">
        <v>53</v>
      </c>
      <c r="F22" s="1"/>
      <c r="G22" s="1"/>
      <c r="H22" s="3" t="e">
        <f>J22*#REF!</f>
        <v>#REF!</v>
      </c>
      <c r="I22" s="4" t="e">
        <f>ROUND(J22/'Finish Input'!$H$34,2)</f>
        <v>#REF!</v>
      </c>
      <c r="J22" s="4" t="e">
        <f>ROUND(#REF!*#REF!/100,2)</f>
        <v>#REF!</v>
      </c>
    </row>
    <row r="23" spans="2:10" ht="15">
      <c r="B23" s="1" t="s">
        <v>4</v>
      </c>
      <c r="C23" s="1" t="s">
        <v>4</v>
      </c>
      <c r="D23" t="s">
        <v>188</v>
      </c>
      <c r="E23" t="s">
        <v>57</v>
      </c>
      <c r="F23" s="1"/>
      <c r="G23" s="1"/>
      <c r="H23" s="3" t="e">
        <f>J23*#REF!</f>
        <v>#REF!</v>
      </c>
      <c r="I23" s="4" t="e">
        <f>ROUND(J23/'Finish Input'!$H$34,2)</f>
        <v>#REF!</v>
      </c>
      <c r="J23" s="4" t="e">
        <f>ROUND(#REF!*#REF!,2)</f>
        <v>#REF!</v>
      </c>
    </row>
    <row r="24" spans="2:10" ht="15">
      <c r="B24" s="1" t="s">
        <v>4</v>
      </c>
      <c r="C24" s="1" t="s">
        <v>4</v>
      </c>
      <c r="D24" t="s">
        <v>56</v>
      </c>
      <c r="E24" t="s">
        <v>62</v>
      </c>
      <c r="F24" s="1"/>
      <c r="G24" s="1"/>
      <c r="H24" s="3" t="e">
        <f>(+#REF!+#REF!)*#REF!/100</f>
        <v>#REF!</v>
      </c>
      <c r="I24" s="4" t="e">
        <f>ROUND(J24/'Finish Input'!$H$34,2)</f>
        <v>#REF!</v>
      </c>
      <c r="J24" s="4" t="e">
        <f>H24/#REF!</f>
        <v>#REF!</v>
      </c>
    </row>
    <row r="25" spans="2:10" ht="15">
      <c r="B25" s="1" t="s">
        <v>4</v>
      </c>
      <c r="C25" s="1" t="s">
        <v>4</v>
      </c>
      <c r="D25" t="s">
        <v>61</v>
      </c>
      <c r="E25" t="s">
        <v>66</v>
      </c>
      <c r="F25" s="1"/>
      <c r="G25" s="1"/>
      <c r="H25" s="3" t="e">
        <f>J25*#REF!</f>
        <v>#REF!</v>
      </c>
      <c r="I25" s="4" t="e">
        <f>ROUND(J25/'Finish Input'!$H$34,2)</f>
        <v>#REF!</v>
      </c>
      <c r="J25" s="4" t="e">
        <f>ROUND(#REF!/1000*#REF!*365,2)</f>
        <v>#REF!</v>
      </c>
    </row>
    <row r="26" spans="2:10" ht="15">
      <c r="B26" s="1" t="s">
        <v>4</v>
      </c>
      <c r="C26" s="1" t="s">
        <v>4</v>
      </c>
      <c r="D26" t="s">
        <v>65</v>
      </c>
      <c r="E26" t="s">
        <v>68</v>
      </c>
      <c r="F26" s="1"/>
      <c r="G26" s="1"/>
      <c r="H26" s="3" t="e">
        <f>J26*#REF!</f>
        <v>#REF!</v>
      </c>
      <c r="I26" s="4" t="e">
        <f>ROUND(J26/'Finish Input'!$H$34,2)</f>
        <v>#REF!</v>
      </c>
      <c r="J26" s="4" t="e">
        <f>ROUND((500+(2*#REF!))/#REF!,2)</f>
        <v>#REF!</v>
      </c>
    </row>
    <row r="27" spans="2:10" ht="15">
      <c r="B27" s="1" t="s">
        <v>4</v>
      </c>
      <c r="C27" s="1" t="s">
        <v>4</v>
      </c>
      <c r="D27" t="s">
        <v>67</v>
      </c>
      <c r="E27" t="s">
        <v>70</v>
      </c>
      <c r="F27" s="1"/>
      <c r="G27" s="1"/>
      <c r="H27" s="3" t="e">
        <f>J27*#REF!</f>
        <v>#REF!</v>
      </c>
      <c r="I27" s="4" t="e">
        <f>ROUND(J27/'Finish Input'!$H$34,2)</f>
        <v>#REF!</v>
      </c>
      <c r="J27" s="4" t="e">
        <f>ROUND(#REF!*#REF!,2)</f>
        <v>#REF!</v>
      </c>
    </row>
    <row r="28" spans="2:10" ht="15">
      <c r="B28" s="1" t="s">
        <v>4</v>
      </c>
      <c r="C28" s="1" t="s">
        <v>4</v>
      </c>
      <c r="D28" t="s">
        <v>69</v>
      </c>
      <c r="E28" t="s">
        <v>82</v>
      </c>
      <c r="F28" s="1"/>
      <c r="G28" s="1"/>
      <c r="H28" s="3" t="e">
        <f>J28*#REF!</f>
        <v>#REF!</v>
      </c>
      <c r="I28" s="4" t="e">
        <f>ROUND(J28/'Finish Input'!$H$34,2)</f>
        <v>#REF!</v>
      </c>
      <c r="J28" s="4" t="e">
        <f>ROUND(#REF!/100*(#REF!-(#REF!*#REF!/100)),2)</f>
        <v>#REF!</v>
      </c>
    </row>
    <row r="29" spans="2:10" ht="15">
      <c r="B29" s="1" t="s">
        <v>4</v>
      </c>
      <c r="C29" s="1" t="s">
        <v>4</v>
      </c>
      <c r="D29" t="s">
        <v>72</v>
      </c>
      <c r="E29" t="s">
        <v>85</v>
      </c>
      <c r="F29" s="1"/>
      <c r="G29" s="1"/>
      <c r="H29" s="3" t="e">
        <f>J29*#REF!</f>
        <v>#REF!</v>
      </c>
      <c r="I29" s="4" t="e">
        <f>ROUND(J29/'Finish Input'!$H$34,2)</f>
        <v>#REF!</v>
      </c>
      <c r="J29" s="4" t="e">
        <f>ROUND(#REF!/100*#REF!*(#REF!-(#REF!*#REF!/100))/#REF!,2)</f>
        <v>#REF!</v>
      </c>
    </row>
    <row r="30" spans="4:10" ht="15">
      <c r="D30" t="s">
        <v>72</v>
      </c>
      <c r="E30" t="s">
        <v>73</v>
      </c>
      <c r="F30" s="1"/>
      <c r="G30" s="1"/>
      <c r="H30" s="3" t="e">
        <f>#REF!</f>
        <v>#REF!</v>
      </c>
      <c r="I30" s="4" t="e">
        <f>ROUND(J30/'Finish Input'!$H$34,2)</f>
        <v>#REF!</v>
      </c>
      <c r="J30" s="4" t="e">
        <f>H30/#REF!</f>
        <v>#REF!</v>
      </c>
    </row>
    <row r="31" spans="2:10" ht="15">
      <c r="B31" s="1" t="s">
        <v>4</v>
      </c>
      <c r="C31" s="1" t="s">
        <v>4</v>
      </c>
      <c r="D31" s="1" t="s">
        <v>4</v>
      </c>
      <c r="E31" s="1" t="s">
        <v>4</v>
      </c>
      <c r="F31" s="1"/>
      <c r="G31" s="1"/>
      <c r="H31" s="3" t="s">
        <v>5</v>
      </c>
      <c r="I31" s="4"/>
      <c r="J31" s="4"/>
    </row>
    <row r="32" spans="2:10" ht="15">
      <c r="B32" s="1" t="s">
        <v>4</v>
      </c>
      <c r="C32" s="1" t="s">
        <v>4</v>
      </c>
      <c r="D32" s="1" t="s">
        <v>4</v>
      </c>
      <c r="E32" t="s">
        <v>77</v>
      </c>
      <c r="F32" s="1"/>
      <c r="G32" s="1"/>
      <c r="H32" s="3" t="e">
        <f>SUM(H15:H31)</f>
        <v>#REF!</v>
      </c>
      <c r="I32" s="4" t="e">
        <f>ROUND(J32/'Finish Input'!$H$34,2)</f>
        <v>#REF!</v>
      </c>
      <c r="J32" s="4" t="e">
        <f>H32/#REF!</f>
        <v>#REF!</v>
      </c>
    </row>
    <row r="33" spans="2:10" ht="15">
      <c r="B33" s="1" t="s">
        <v>4</v>
      </c>
      <c r="C33" s="1" t="s">
        <v>4</v>
      </c>
      <c r="D33" t="s">
        <v>79</v>
      </c>
      <c r="E33" t="s">
        <v>80</v>
      </c>
      <c r="F33" s="1"/>
      <c r="G33" s="1"/>
      <c r="H33" s="3" t="e">
        <f>J33*#REF!</f>
        <v>#REF!</v>
      </c>
      <c r="I33" s="4" t="e">
        <f>#REF!</f>
        <v>#REF!</v>
      </c>
      <c r="J33" s="4" t="e">
        <f>I33*'Finish Input'!H34</f>
        <v>#REF!</v>
      </c>
    </row>
    <row r="34" spans="2:10" ht="15">
      <c r="B34" s="1" t="s">
        <v>4</v>
      </c>
      <c r="C34" s="1" t="s">
        <v>4</v>
      </c>
      <c r="D34" s="1" t="s">
        <v>4</v>
      </c>
      <c r="E34" s="1" t="s">
        <v>4</v>
      </c>
      <c r="F34" s="1" t="s">
        <v>4</v>
      </c>
      <c r="G34" s="1" t="s">
        <v>4</v>
      </c>
      <c r="H34" s="3" t="s">
        <v>5</v>
      </c>
      <c r="I34" s="4"/>
      <c r="J34" s="4"/>
    </row>
    <row r="35" spans="2:10" ht="15">
      <c r="B35" s="1" t="s">
        <v>4</v>
      </c>
      <c r="C35" t="s">
        <v>86</v>
      </c>
      <c r="D35" s="1"/>
      <c r="E35" s="1"/>
      <c r="F35" s="1"/>
      <c r="G35" s="1" t="s">
        <v>4</v>
      </c>
      <c r="H35" s="3" t="e">
        <f>J35*#REF!</f>
        <v>#REF!</v>
      </c>
      <c r="I35" s="4" t="e">
        <f>ROUND(J35/'Finish Input'!$H$34,2)</f>
        <v>#REF!</v>
      </c>
      <c r="J35" s="4" t="e">
        <f>SUM(J32:J33)</f>
        <v>#REF!</v>
      </c>
    </row>
    <row r="36" spans="2:10" ht="15">
      <c r="B36" s="1" t="s">
        <v>4</v>
      </c>
      <c r="C36" s="1" t="s">
        <v>4</v>
      </c>
      <c r="D36" s="1"/>
      <c r="E36" s="1"/>
      <c r="F36" s="1"/>
      <c r="G36" s="1" t="s">
        <v>4</v>
      </c>
      <c r="H36" s="6" t="s">
        <v>4</v>
      </c>
      <c r="I36" s="7" t="s">
        <v>4</v>
      </c>
      <c r="J36" s="7" t="s">
        <v>4</v>
      </c>
    </row>
    <row r="37" spans="2:10" ht="15">
      <c r="B37" t="s">
        <v>99</v>
      </c>
      <c r="C37" t="s">
        <v>100</v>
      </c>
      <c r="D37" s="1"/>
      <c r="E37" s="1"/>
      <c r="F37" s="1"/>
      <c r="G37" s="1" t="s">
        <v>4</v>
      </c>
      <c r="H37" s="6" t="s">
        <v>4</v>
      </c>
      <c r="I37" s="7" t="s">
        <v>4</v>
      </c>
      <c r="J37" s="7" t="s">
        <v>4</v>
      </c>
    </row>
    <row r="38" spans="2:10" ht="15">
      <c r="B38" s="1" t="s">
        <v>4</v>
      </c>
      <c r="C38" t="s">
        <v>29</v>
      </c>
      <c r="D38" t="s">
        <v>90</v>
      </c>
      <c r="E38" s="1"/>
      <c r="F38" s="1"/>
      <c r="G38" s="1"/>
      <c r="H38" s="6" t="s">
        <v>4</v>
      </c>
      <c r="I38" s="7" t="s">
        <v>4</v>
      </c>
      <c r="J38" s="4" t="s">
        <v>4</v>
      </c>
    </row>
    <row r="39" spans="2:10" ht="15">
      <c r="B39" s="1" t="s">
        <v>4</v>
      </c>
      <c r="C39" s="1" t="s">
        <v>4</v>
      </c>
      <c r="D39" t="s">
        <v>92</v>
      </c>
      <c r="E39" t="s">
        <v>93</v>
      </c>
      <c r="F39" s="1"/>
      <c r="G39" s="1"/>
      <c r="H39" s="3" t="e">
        <f>J39*#REF!</f>
        <v>#REF!</v>
      </c>
      <c r="I39" s="4" t="e">
        <f>ROUND(J39/#REF!,2)</f>
        <v>#REF!</v>
      </c>
      <c r="J39" s="4" t="e">
        <f>#REF!</f>
        <v>#REF!</v>
      </c>
    </row>
    <row r="40" spans="2:10" ht="15">
      <c r="B40" s="1" t="s">
        <v>4</v>
      </c>
      <c r="C40" s="1" t="s">
        <v>4</v>
      </c>
      <c r="D40" t="s">
        <v>94</v>
      </c>
      <c r="E40" t="s">
        <v>95</v>
      </c>
      <c r="F40" s="1"/>
      <c r="G40" s="1"/>
      <c r="H40" s="3" t="e">
        <f>J40*#REF!</f>
        <v>#REF!</v>
      </c>
      <c r="I40" s="4" t="e">
        <f>ROUND(J40/#REF!,2)</f>
        <v>#REF!</v>
      </c>
      <c r="J40" s="4" t="e">
        <f>ROUND((#REF!-(#REF!/100*#REF!))/#REF!,2)</f>
        <v>#REF!</v>
      </c>
    </row>
    <row r="41" spans="2:10" ht="15">
      <c r="B41" s="1" t="s">
        <v>4</v>
      </c>
      <c r="C41" s="1" t="s">
        <v>4</v>
      </c>
      <c r="D41" s="1" t="s">
        <v>4</v>
      </c>
      <c r="E41" s="1" t="s">
        <v>4</v>
      </c>
      <c r="F41" s="1"/>
      <c r="G41" s="1"/>
      <c r="H41" s="3" t="s">
        <v>5</v>
      </c>
      <c r="I41" s="4"/>
      <c r="J41" s="4"/>
    </row>
    <row r="42" spans="2:10" ht="15">
      <c r="B42" s="1" t="s">
        <v>4</v>
      </c>
      <c r="C42" s="1" t="s">
        <v>4</v>
      </c>
      <c r="D42" t="s">
        <v>98</v>
      </c>
      <c r="E42" s="1"/>
      <c r="F42" s="1"/>
      <c r="G42" s="1"/>
      <c r="H42" s="3" t="e">
        <f>J42*#REF!</f>
        <v>#REF!</v>
      </c>
      <c r="I42" s="4" t="e">
        <f>ROUND(J42/#REF!,2)</f>
        <v>#REF!</v>
      </c>
      <c r="J42" s="4" t="e">
        <f>SUM(J38:J41)</f>
        <v>#REF!</v>
      </c>
    </row>
    <row r="43" spans="2:10" ht="15">
      <c r="B43" s="1" t="s">
        <v>4</v>
      </c>
      <c r="C43" s="1" t="s">
        <v>4</v>
      </c>
      <c r="D43" s="1" t="s">
        <v>4</v>
      </c>
      <c r="E43" s="1" t="s">
        <v>4</v>
      </c>
      <c r="F43" s="1"/>
      <c r="G43" s="1"/>
      <c r="H43" s="6" t="s">
        <v>4</v>
      </c>
      <c r="I43" s="7" t="s">
        <v>4</v>
      </c>
      <c r="J43" s="7" t="s">
        <v>4</v>
      </c>
    </row>
    <row r="44" spans="2:10" ht="15">
      <c r="B44" s="1" t="s">
        <v>4</v>
      </c>
      <c r="C44" t="s">
        <v>34</v>
      </c>
      <c r="D44" t="s">
        <v>101</v>
      </c>
      <c r="E44" s="1"/>
      <c r="F44" s="1"/>
      <c r="G44" s="1"/>
      <c r="H44" s="6" t="s">
        <v>4</v>
      </c>
      <c r="I44" s="7" t="s">
        <v>4</v>
      </c>
      <c r="J44" s="7" t="s">
        <v>4</v>
      </c>
    </row>
    <row r="45" spans="2:10" ht="15">
      <c r="B45" s="1" t="s">
        <v>4</v>
      </c>
      <c r="C45" s="1" t="s">
        <v>4</v>
      </c>
      <c r="D45" t="s">
        <v>102</v>
      </c>
      <c r="E45" t="s">
        <v>93</v>
      </c>
      <c r="F45" s="1"/>
      <c r="G45" s="1"/>
      <c r="H45" s="3" t="e">
        <f>J45*#REF!</f>
        <v>#REF!</v>
      </c>
      <c r="I45" s="4" t="e">
        <f>ROUND(J45/#REF!,2)</f>
        <v>#REF!</v>
      </c>
      <c r="J45" s="4" t="e">
        <f>#REF!</f>
        <v>#REF!</v>
      </c>
    </row>
    <row r="46" spans="2:10" ht="15">
      <c r="B46" s="1" t="s">
        <v>4</v>
      </c>
      <c r="C46" s="1" t="s">
        <v>4</v>
      </c>
      <c r="D46" t="s">
        <v>103</v>
      </c>
      <c r="E46" t="s">
        <v>95</v>
      </c>
      <c r="F46" s="1"/>
      <c r="G46" s="1"/>
      <c r="H46" s="3" t="e">
        <f>J46*#REF!</f>
        <v>#REF!</v>
      </c>
      <c r="I46" s="4" t="e">
        <f>ROUND(J46/#REF!,2)</f>
        <v>#REF!</v>
      </c>
      <c r="J46" s="4" t="e">
        <f>ROUND((#REF!+(#REF!/100*#REF!))/2*#REF!/100,2)</f>
        <v>#REF!</v>
      </c>
    </row>
    <row r="47" spans="2:10" ht="15">
      <c r="B47" s="1" t="s">
        <v>4</v>
      </c>
      <c r="C47" s="1" t="s">
        <v>4</v>
      </c>
      <c r="D47" t="s">
        <v>111</v>
      </c>
      <c r="E47" t="s">
        <v>112</v>
      </c>
      <c r="F47" s="1"/>
      <c r="G47" s="1"/>
      <c r="H47" s="3" t="e">
        <f>J47*#REF!</f>
        <v>#REF!</v>
      </c>
      <c r="I47" s="4" t="e">
        <f>ROUND(J47/#REF!,2)</f>
        <v>#REF!</v>
      </c>
      <c r="J47" s="4" t="e">
        <f>ROUND(#REF!*#REF!/100,2)</f>
        <v>#REF!</v>
      </c>
    </row>
    <row r="48" spans="2:10" ht="15">
      <c r="B48" s="1" t="s">
        <v>4</v>
      </c>
      <c r="C48" s="1" t="s">
        <v>4</v>
      </c>
      <c r="D48" s="1" t="s">
        <v>4</v>
      </c>
      <c r="E48" s="1" t="s">
        <v>4</v>
      </c>
      <c r="F48" s="1"/>
      <c r="G48" s="1"/>
      <c r="H48" s="3" t="s">
        <v>5</v>
      </c>
      <c r="I48" s="4"/>
      <c r="J48" s="4"/>
    </row>
    <row r="49" spans="2:10" ht="15">
      <c r="B49" s="1" t="s">
        <v>4</v>
      </c>
      <c r="C49" s="1" t="s">
        <v>4</v>
      </c>
      <c r="D49" t="s">
        <v>105</v>
      </c>
      <c r="E49" s="1"/>
      <c r="F49" s="1"/>
      <c r="G49" s="1"/>
      <c r="H49" s="3" t="e">
        <f>J49*#REF!</f>
        <v>#REF!</v>
      </c>
      <c r="I49" s="4" t="e">
        <f>ROUND(J49/#REF!,2)</f>
        <v>#REF!</v>
      </c>
      <c r="J49" s="4" t="e">
        <f>SUM(J44:J48)</f>
        <v>#REF!</v>
      </c>
    </row>
    <row r="50" spans="2:10" ht="15">
      <c r="B50" s="1" t="s">
        <v>4</v>
      </c>
      <c r="C50" s="1" t="s">
        <v>4</v>
      </c>
      <c r="D50" s="1" t="s">
        <v>4</v>
      </c>
      <c r="E50" s="1" t="s">
        <v>4</v>
      </c>
      <c r="F50" s="1"/>
      <c r="G50" s="1"/>
      <c r="H50" s="3" t="s">
        <v>5</v>
      </c>
      <c r="I50" s="4"/>
      <c r="J50" s="4"/>
    </row>
    <row r="51" spans="2:10" ht="15">
      <c r="B51" s="1" t="s">
        <v>4</v>
      </c>
      <c r="C51" t="s">
        <v>106</v>
      </c>
      <c r="D51" s="1"/>
      <c r="E51" s="1"/>
      <c r="F51" s="1"/>
      <c r="G51" s="1"/>
      <c r="H51" s="3" t="e">
        <f>J51*#REF!</f>
        <v>#REF!</v>
      </c>
      <c r="I51" s="4" t="e">
        <f>ROUND(J51/#REF!,2)</f>
        <v>#REF!</v>
      </c>
      <c r="J51" s="4" t="e">
        <f>J42+J49</f>
        <v>#REF!</v>
      </c>
    </row>
    <row r="52" spans="2:10" ht="15">
      <c r="B52" s="1" t="s">
        <v>4</v>
      </c>
      <c r="C52" s="1" t="s">
        <v>4</v>
      </c>
      <c r="D52" s="1" t="s">
        <v>4</v>
      </c>
      <c r="E52" s="1" t="s">
        <v>4</v>
      </c>
      <c r="F52" s="1"/>
      <c r="G52" s="1"/>
      <c r="H52" s="6" t="s">
        <v>4</v>
      </c>
      <c r="I52" s="7" t="s">
        <v>4</v>
      </c>
      <c r="J52" s="7" t="s">
        <v>4</v>
      </c>
    </row>
    <row r="53" spans="2:10" ht="15">
      <c r="B53" t="s">
        <v>123</v>
      </c>
      <c r="C53" t="s">
        <v>122</v>
      </c>
      <c r="D53" s="1"/>
      <c r="E53" s="1"/>
      <c r="F53" s="1" t="s">
        <v>4</v>
      </c>
      <c r="G53" s="1" t="s">
        <v>4</v>
      </c>
      <c r="H53" s="6" t="s">
        <v>4</v>
      </c>
      <c r="I53" s="7" t="s">
        <v>4</v>
      </c>
      <c r="J53" s="7" t="s">
        <v>4</v>
      </c>
    </row>
    <row r="54" spans="2:10" ht="15">
      <c r="B54" s="1" t="s">
        <v>4</v>
      </c>
      <c r="C54" s="1" t="s">
        <v>4</v>
      </c>
      <c r="D54" s="3" t="e">
        <f>#REF!</f>
        <v>#REF!</v>
      </c>
      <c r="E54" t="s">
        <v>125</v>
      </c>
      <c r="F54" s="1"/>
      <c r="G54" s="1"/>
      <c r="H54" s="3" t="e">
        <f>J54*#REF!</f>
        <v>#REF!</v>
      </c>
      <c r="I54" s="4" t="e">
        <f>ROUND(J54/#REF!,2)</f>
        <v>#REF!</v>
      </c>
      <c r="J54" s="4" t="e">
        <f>ROUND(#REF!*#REF!*52/#REF!,2)</f>
        <v>#REF!</v>
      </c>
    </row>
    <row r="55" spans="2:10" ht="15">
      <c r="B55" s="1" t="s">
        <v>4</v>
      </c>
      <c r="C55" s="1" t="s">
        <v>4</v>
      </c>
      <c r="D55" s="1" t="s">
        <v>4</v>
      </c>
      <c r="E55" s="1" t="s">
        <v>4</v>
      </c>
      <c r="F55" s="1" t="s">
        <v>4</v>
      </c>
      <c r="G55" s="1" t="s">
        <v>4</v>
      </c>
      <c r="H55" s="3" t="s">
        <v>5</v>
      </c>
      <c r="I55" s="4"/>
      <c r="J55" s="4"/>
    </row>
    <row r="56" spans="2:10" ht="15">
      <c r="B56" s="1" t="s">
        <v>4</v>
      </c>
      <c r="C56" t="s">
        <v>116</v>
      </c>
      <c r="D56" s="1"/>
      <c r="E56" s="1"/>
      <c r="F56" s="1"/>
      <c r="G56" s="1" t="s">
        <v>4</v>
      </c>
      <c r="H56" s="3" t="e">
        <f>J56*#REF!</f>
        <v>#REF!</v>
      </c>
      <c r="I56" s="4" t="e">
        <f>ROUND(J56/#REF!,2)</f>
        <v>#REF!</v>
      </c>
      <c r="J56" s="4" t="e">
        <f>J35+J51+J54</f>
        <v>#REF!</v>
      </c>
    </row>
    <row r="57" spans="8:10" ht="15">
      <c r="H57" s="3"/>
      <c r="I57" s="4"/>
      <c r="J57" s="4"/>
    </row>
    <row r="58" spans="2:10" ht="15">
      <c r="B58" t="s">
        <v>6</v>
      </c>
      <c r="C58" s="1"/>
      <c r="D58" s="1"/>
      <c r="E58" s="1"/>
      <c r="F58" s="1"/>
      <c r="G58" s="1"/>
      <c r="H58" s="1"/>
      <c r="I58" s="1"/>
      <c r="J58" s="1"/>
    </row>
    <row r="59" spans="2:10" ht="15">
      <c r="B59" s="1" t="s">
        <v>4</v>
      </c>
      <c r="C59" s="1" t="s">
        <v>4</v>
      </c>
      <c r="D59" s="1" t="s">
        <v>4</v>
      </c>
      <c r="E59" s="1" t="s">
        <v>4</v>
      </c>
      <c r="F59" t="s">
        <v>131</v>
      </c>
      <c r="G59" s="1"/>
      <c r="H59" s="1"/>
      <c r="I59" s="1"/>
      <c r="J59" t="e">
        <f>'Finish Input'!#REF!</f>
        <v>#REF!</v>
      </c>
    </row>
    <row r="60" spans="2:10" ht="15">
      <c r="B60" s="1" t="s">
        <v>4</v>
      </c>
      <c r="C60" s="1" t="s">
        <v>4</v>
      </c>
      <c r="D60" s="1" t="s">
        <v>4</v>
      </c>
      <c r="E60" s="1" t="s">
        <v>4</v>
      </c>
      <c r="F60" s="1" t="s">
        <v>4</v>
      </c>
      <c r="G60" s="1"/>
      <c r="H60" s="1"/>
      <c r="I60" s="1"/>
      <c r="J60" s="1" t="s">
        <v>4</v>
      </c>
    </row>
    <row r="61" spans="2:10" ht="15">
      <c r="B61" s="1" t="s">
        <v>4</v>
      </c>
      <c r="C61" s="1" t="s">
        <v>4</v>
      </c>
      <c r="D61" s="1" t="s">
        <v>4</v>
      </c>
      <c r="E61" s="1" t="s">
        <v>4</v>
      </c>
      <c r="F61" t="s">
        <v>134</v>
      </c>
      <c r="G61" s="1"/>
      <c r="H61" s="1"/>
      <c r="I61" s="1"/>
      <c r="J61" t="e">
        <f>IF(J59=0,0,J59-I35)</f>
        <v>#REF!</v>
      </c>
    </row>
    <row r="62" spans="2:10" ht="15">
      <c r="B62" s="1" t="s">
        <v>4</v>
      </c>
      <c r="C62" s="1" t="s">
        <v>4</v>
      </c>
      <c r="D62" s="1" t="s">
        <v>4</v>
      </c>
      <c r="E62" s="1" t="s">
        <v>4</v>
      </c>
      <c r="F62" t="s">
        <v>135</v>
      </c>
      <c r="G62" s="1"/>
      <c r="H62" s="1"/>
      <c r="I62" s="1"/>
      <c r="J62" t="e">
        <f>IF(J59=0,0,J61-I54)</f>
        <v>#REF!</v>
      </c>
    </row>
    <row r="63" spans="2:10" ht="15">
      <c r="B63" s="1" t="s">
        <v>4</v>
      </c>
      <c r="C63" s="1" t="s">
        <v>4</v>
      </c>
      <c r="D63" s="1" t="s">
        <v>4</v>
      </c>
      <c r="E63" s="1" t="s">
        <v>4</v>
      </c>
      <c r="F63" t="s">
        <v>136</v>
      </c>
      <c r="G63" s="1"/>
      <c r="H63" s="1"/>
      <c r="I63" s="1"/>
      <c r="J63" t="e">
        <f>IF(J59=0,0,J62-I51)</f>
        <v>#REF!</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I43"/>
  <sheetViews>
    <sheetView showGridLines="0" workbookViewId="0" topLeftCell="A1">
      <selection activeCell="A1" sqref="A1:I1"/>
    </sheetView>
  </sheetViews>
  <sheetFormatPr defaultColWidth="8.88671875" defaultRowHeight="15"/>
  <cols>
    <col min="1" max="1" width="10.77734375" style="0" customWidth="1"/>
  </cols>
  <sheetData>
    <row r="1" spans="1:9" ht="22.5" customHeight="1">
      <c r="A1" s="441" t="str">
        <f>"Aquaculture ("&amp;'Finish Input'!I10*1000&amp;"g to "&amp;'Finish Input'!J18&amp;"kg) Grow-out Cost of Production"</f>
        <v>Aquaculture (20g to 2kg) Grow-out Cost of Production</v>
      </c>
      <c r="B1" s="441"/>
      <c r="C1" s="441"/>
      <c r="D1" s="441"/>
      <c r="E1" s="441"/>
      <c r="F1" s="441"/>
      <c r="G1" s="441"/>
      <c r="H1" s="441"/>
      <c r="I1" s="441"/>
    </row>
    <row r="3" ht="15">
      <c r="A3" s="25"/>
    </row>
    <row r="4" spans="1:9" ht="15" customHeight="1">
      <c r="A4" s="442" t="s">
        <v>412</v>
      </c>
      <c r="B4" s="442"/>
      <c r="C4" s="442"/>
      <c r="D4" s="442"/>
      <c r="E4" s="442"/>
      <c r="F4" s="442"/>
      <c r="G4" s="442"/>
      <c r="H4" s="442"/>
      <c r="I4" s="442"/>
    </row>
    <row r="5" spans="1:9" ht="15" customHeight="1">
      <c r="A5" s="442"/>
      <c r="B5" s="442"/>
      <c r="C5" s="442"/>
      <c r="D5" s="442"/>
      <c r="E5" s="442"/>
      <c r="F5" s="442"/>
      <c r="G5" s="442"/>
      <c r="H5" s="442"/>
      <c r="I5" s="442"/>
    </row>
    <row r="6" spans="1:9" ht="15" customHeight="1">
      <c r="A6" s="442"/>
      <c r="B6" s="442"/>
      <c r="C6" s="442"/>
      <c r="D6" s="442"/>
      <c r="E6" s="442"/>
      <c r="F6" s="442"/>
      <c r="G6" s="442"/>
      <c r="H6" s="442"/>
      <c r="I6" s="442"/>
    </row>
    <row r="7" spans="1:9" ht="15" customHeight="1">
      <c r="A7" s="442"/>
      <c r="B7" s="442"/>
      <c r="C7" s="442"/>
      <c r="D7" s="442"/>
      <c r="E7" s="442"/>
      <c r="F7" s="442"/>
      <c r="G7" s="442"/>
      <c r="H7" s="442"/>
      <c r="I7" s="442"/>
    </row>
    <row r="8" spans="1:9" ht="15" customHeight="1">
      <c r="A8" s="442"/>
      <c r="B8" s="442"/>
      <c r="C8" s="442"/>
      <c r="D8" s="442"/>
      <c r="E8" s="442"/>
      <c r="F8" s="442"/>
      <c r="G8" s="442"/>
      <c r="H8" s="442"/>
      <c r="I8" s="442"/>
    </row>
    <row r="9" ht="15">
      <c r="A9" s="23"/>
    </row>
    <row r="10" spans="1:9" ht="15" customHeight="1">
      <c r="A10" s="442" t="s">
        <v>436</v>
      </c>
      <c r="B10" s="442"/>
      <c r="C10" s="442"/>
      <c r="D10" s="442"/>
      <c r="E10" s="442"/>
      <c r="F10" s="442"/>
      <c r="G10" s="442"/>
      <c r="H10" s="442"/>
      <c r="I10" s="442"/>
    </row>
    <row r="11" spans="1:9" ht="15" customHeight="1">
      <c r="A11" s="442"/>
      <c r="B11" s="442"/>
      <c r="C11" s="442"/>
      <c r="D11" s="442"/>
      <c r="E11" s="442"/>
      <c r="F11" s="442"/>
      <c r="G11" s="442"/>
      <c r="H11" s="442"/>
      <c r="I11" s="442"/>
    </row>
    <row r="12" spans="1:9" ht="15" customHeight="1">
      <c r="A12" s="442"/>
      <c r="B12" s="442"/>
      <c r="C12" s="442"/>
      <c r="D12" s="442"/>
      <c r="E12" s="442"/>
      <c r="F12" s="442"/>
      <c r="G12" s="442"/>
      <c r="H12" s="442"/>
      <c r="I12" s="442"/>
    </row>
    <row r="13" spans="1:9" ht="15" customHeight="1">
      <c r="A13" s="442"/>
      <c r="B13" s="442"/>
      <c r="C13" s="442"/>
      <c r="D13" s="442"/>
      <c r="E13" s="442"/>
      <c r="F13" s="442"/>
      <c r="G13" s="442"/>
      <c r="H13" s="442"/>
      <c r="I13" s="442"/>
    </row>
    <row r="14" spans="1:9" ht="15" customHeight="1">
      <c r="A14" s="442"/>
      <c r="B14" s="442"/>
      <c r="C14" s="442"/>
      <c r="D14" s="442"/>
      <c r="E14" s="442"/>
      <c r="F14" s="442"/>
      <c r="G14" s="442"/>
      <c r="H14" s="442"/>
      <c r="I14" s="442"/>
    </row>
    <row r="15" spans="1:9" ht="15" customHeight="1">
      <c r="A15" s="442"/>
      <c r="B15" s="442"/>
      <c r="C15" s="442"/>
      <c r="D15" s="442"/>
      <c r="E15" s="442"/>
      <c r="F15" s="442"/>
      <c r="G15" s="442"/>
      <c r="H15" s="442"/>
      <c r="I15" s="442"/>
    </row>
    <row r="16" spans="1:9" ht="15" customHeight="1">
      <c r="A16" s="442"/>
      <c r="B16" s="442"/>
      <c r="C16" s="442"/>
      <c r="D16" s="442"/>
      <c r="E16" s="442"/>
      <c r="F16" s="442"/>
      <c r="G16" s="442"/>
      <c r="H16" s="442"/>
      <c r="I16" s="442"/>
    </row>
    <row r="17" ht="15">
      <c r="A17" s="23"/>
    </row>
    <row r="18" spans="1:9" ht="15" customHeight="1">
      <c r="A18" s="442" t="s">
        <v>375</v>
      </c>
      <c r="B18" s="442"/>
      <c r="C18" s="442"/>
      <c r="D18" s="442"/>
      <c r="E18" s="442"/>
      <c r="F18" s="442"/>
      <c r="G18" s="442"/>
      <c r="H18" s="442"/>
      <c r="I18" s="442"/>
    </row>
    <row r="19" spans="1:9" ht="15" customHeight="1">
      <c r="A19" s="442"/>
      <c r="B19" s="442"/>
      <c r="C19" s="442"/>
      <c r="D19" s="442"/>
      <c r="E19" s="442"/>
      <c r="F19" s="442"/>
      <c r="G19" s="442"/>
      <c r="H19" s="442"/>
      <c r="I19" s="442"/>
    </row>
    <row r="20" spans="1:9" ht="15" customHeight="1">
      <c r="A20" s="442"/>
      <c r="B20" s="442"/>
      <c r="C20" s="442"/>
      <c r="D20" s="442"/>
      <c r="E20" s="442"/>
      <c r="F20" s="442"/>
      <c r="G20" s="442"/>
      <c r="H20" s="442"/>
      <c r="I20" s="442"/>
    </row>
    <row r="21" spans="1:9" ht="15">
      <c r="A21" s="442"/>
      <c r="B21" s="442"/>
      <c r="C21" s="442"/>
      <c r="D21" s="442"/>
      <c r="E21" s="442"/>
      <c r="F21" s="442"/>
      <c r="G21" s="442"/>
      <c r="H21" s="442"/>
      <c r="I21" s="442"/>
    </row>
    <row r="23" spans="1:9" ht="15" customHeight="1">
      <c r="A23" s="442" t="s">
        <v>413</v>
      </c>
      <c r="B23" s="442"/>
      <c r="C23" s="442"/>
      <c r="D23" s="442"/>
      <c r="E23" s="442"/>
      <c r="F23" s="442"/>
      <c r="G23" s="442"/>
      <c r="H23" s="442"/>
      <c r="I23" s="442"/>
    </row>
    <row r="24" spans="1:9" ht="15" customHeight="1">
      <c r="A24" s="442"/>
      <c r="B24" s="442"/>
      <c r="C24" s="442"/>
      <c r="D24" s="442"/>
      <c r="E24" s="442"/>
      <c r="F24" s="442"/>
      <c r="G24" s="442"/>
      <c r="H24" s="442"/>
      <c r="I24" s="442"/>
    </row>
    <row r="25" spans="1:9" ht="15" customHeight="1">
      <c r="A25" s="442"/>
      <c r="B25" s="442"/>
      <c r="C25" s="442"/>
      <c r="D25" s="442"/>
      <c r="E25" s="442"/>
      <c r="F25" s="442"/>
      <c r="G25" s="442"/>
      <c r="H25" s="442"/>
      <c r="I25" s="442"/>
    </row>
    <row r="26" spans="1:9" ht="15.75" customHeight="1">
      <c r="A26" s="442"/>
      <c r="B26" s="442"/>
      <c r="C26" s="442"/>
      <c r="D26" s="442"/>
      <c r="E26" s="442"/>
      <c r="F26" s="442"/>
      <c r="G26" s="442"/>
      <c r="H26" s="442"/>
      <c r="I26" s="442"/>
    </row>
    <row r="27" ht="15" customHeight="1"/>
    <row r="28" spans="1:9" ht="15" customHeight="1">
      <c r="A28" s="442" t="s">
        <v>330</v>
      </c>
      <c r="B28" s="442"/>
      <c r="C28" s="442"/>
      <c r="D28" s="442"/>
      <c r="E28" s="442"/>
      <c r="F28" s="442"/>
      <c r="G28" s="442"/>
      <c r="H28" s="442"/>
      <c r="I28" s="442"/>
    </row>
    <row r="29" spans="1:9" ht="15" customHeight="1">
      <c r="A29" s="442"/>
      <c r="B29" s="442"/>
      <c r="C29" s="442"/>
      <c r="D29" s="442"/>
      <c r="E29" s="442"/>
      <c r="F29" s="442"/>
      <c r="G29" s="442"/>
      <c r="H29" s="442"/>
      <c r="I29" s="442"/>
    </row>
    <row r="30" spans="1:9" ht="15" customHeight="1">
      <c r="A30" s="442"/>
      <c r="B30" s="442"/>
      <c r="C30" s="442"/>
      <c r="D30" s="442"/>
      <c r="E30" s="442"/>
      <c r="F30" s="442"/>
      <c r="G30" s="442"/>
      <c r="H30" s="442"/>
      <c r="I30" s="442"/>
    </row>
    <row r="31" spans="1:9" ht="15" customHeight="1">
      <c r="A31" s="442"/>
      <c r="B31" s="442"/>
      <c r="C31" s="442"/>
      <c r="D31" s="442"/>
      <c r="E31" s="442"/>
      <c r="F31" s="442"/>
      <c r="G31" s="442"/>
      <c r="H31" s="442"/>
      <c r="I31" s="442"/>
    </row>
    <row r="32" ht="15" customHeight="1">
      <c r="A32" s="25"/>
    </row>
    <row r="33" spans="1:9" ht="15" customHeight="1">
      <c r="A33" s="443" t="s">
        <v>331</v>
      </c>
      <c r="B33" s="443"/>
      <c r="C33" s="443"/>
      <c r="D33" s="443"/>
      <c r="E33" s="443"/>
      <c r="F33" s="443"/>
      <c r="G33" s="443"/>
      <c r="H33" s="443"/>
      <c r="I33" s="443"/>
    </row>
    <row r="34" spans="1:9" ht="15" customHeight="1">
      <c r="A34" s="443"/>
      <c r="B34" s="443"/>
      <c r="C34" s="443"/>
      <c r="D34" s="443"/>
      <c r="E34" s="443"/>
      <c r="F34" s="443"/>
      <c r="G34" s="443"/>
      <c r="H34" s="443"/>
      <c r="I34" s="443"/>
    </row>
    <row r="35" spans="1:9" ht="15" customHeight="1">
      <c r="A35" s="443"/>
      <c r="B35" s="443"/>
      <c r="C35" s="443"/>
      <c r="D35" s="443"/>
      <c r="E35" s="443"/>
      <c r="F35" s="443"/>
      <c r="G35" s="443"/>
      <c r="H35" s="443"/>
      <c r="I35" s="443"/>
    </row>
    <row r="36" spans="1:9" ht="15" customHeight="1">
      <c r="A36" s="443"/>
      <c r="B36" s="443"/>
      <c r="C36" s="443"/>
      <c r="D36" s="443"/>
      <c r="E36" s="443"/>
      <c r="F36" s="443"/>
      <c r="G36" s="443"/>
      <c r="H36" s="443"/>
      <c r="I36" s="443"/>
    </row>
    <row r="37" spans="1:9" ht="15" customHeight="1">
      <c r="A37" s="443"/>
      <c r="B37" s="443"/>
      <c r="C37" s="443"/>
      <c r="D37" s="443"/>
      <c r="E37" s="443"/>
      <c r="F37" s="443"/>
      <c r="G37" s="443"/>
      <c r="H37" s="443"/>
      <c r="I37" s="443"/>
    </row>
    <row r="38" spans="1:9" ht="15" customHeight="1">
      <c r="A38" s="443"/>
      <c r="B38" s="443"/>
      <c r="C38" s="443"/>
      <c r="D38" s="443"/>
      <c r="E38" s="443"/>
      <c r="F38" s="443"/>
      <c r="G38" s="443"/>
      <c r="H38" s="443"/>
      <c r="I38" s="443"/>
    </row>
    <row r="39" spans="1:9" ht="15">
      <c r="A39" s="443"/>
      <c r="B39" s="443"/>
      <c r="C39" s="443"/>
      <c r="D39" s="443"/>
      <c r="E39" s="443"/>
      <c r="F39" s="443"/>
      <c r="G39" s="443"/>
      <c r="H39" s="443"/>
      <c r="I39" s="443"/>
    </row>
    <row r="41" ht="15">
      <c r="A41" s="25"/>
    </row>
    <row r="42" ht="15">
      <c r="A42" s="25"/>
    </row>
    <row r="43" ht="15">
      <c r="A43" s="25"/>
    </row>
  </sheetData>
  <sheetProtection password="C6A6" sheet="1"/>
  <mergeCells count="7">
    <mergeCell ref="A1:I1"/>
    <mergeCell ref="A10:I16"/>
    <mergeCell ref="A18:I21"/>
    <mergeCell ref="A23:I26"/>
    <mergeCell ref="A28:I31"/>
    <mergeCell ref="A33:I39"/>
    <mergeCell ref="A4:I8"/>
  </mergeCells>
  <printOptions horizontalCentered="1"/>
  <pageMargins left="0.7480314960629921" right="0.7480314960629921" top="0.984251968503937" bottom="0.984251968503937" header="0.5118110236220472" footer="0.5118110236220472"/>
  <pageSetup firstPageNumber="2" useFirstPageNumber="1" horizontalDpi="600" verticalDpi="600" orientation="portrait" scale="82" r:id="rId1"/>
  <headerFooter alignWithMargins="0">
    <oddHeader>&amp;L&amp;9Guidelines: Aquaculture Production Costs&amp;R&amp;10&amp;P</oddHeader>
    <oddFooter>&amp;R&amp;9Manitoba Agriculture, Farm Management</oddFooter>
  </headerFooter>
</worksheet>
</file>

<file path=xl/worksheets/sheet3.xml><?xml version="1.0" encoding="utf-8"?>
<worksheet xmlns="http://schemas.openxmlformats.org/spreadsheetml/2006/main" xmlns:r="http://schemas.openxmlformats.org/officeDocument/2006/relationships">
  <sheetPr codeName="Sheet7">
    <pageSetUpPr fitToPage="1"/>
  </sheetPr>
  <dimension ref="A1:T74"/>
  <sheetViews>
    <sheetView showGridLines="0" workbookViewId="0" topLeftCell="A1">
      <selection activeCell="A3" sqref="A3"/>
    </sheetView>
  </sheetViews>
  <sheetFormatPr defaultColWidth="8.88671875" defaultRowHeight="15"/>
  <cols>
    <col min="1" max="1" width="2.3359375" style="0" customWidth="1"/>
    <col min="2" max="2" width="4.10546875" style="0" customWidth="1"/>
    <col min="3" max="3" width="6.77734375" style="0" customWidth="1"/>
    <col min="4" max="4" width="24.4453125" style="0" customWidth="1"/>
    <col min="5" max="5" width="8.3359375" style="0" customWidth="1"/>
    <col min="6" max="6" width="10.77734375" style="0" customWidth="1"/>
    <col min="7" max="7" width="2.5546875" style="0" customWidth="1"/>
    <col min="8" max="8" width="2.77734375" style="0" customWidth="1"/>
    <col min="9" max="9" width="11.88671875" style="0" customWidth="1"/>
  </cols>
  <sheetData>
    <row r="1" spans="1:10" ht="21.75" customHeight="1">
      <c r="A1" s="444" t="str">
        <f>"Aquaculture ("&amp;'Finish Input'!I10*1000&amp;"g to "&amp;'Finish Input'!J18&amp;"kg) Grow-out Summary - Steady State - "&amp;Introduction!G12</f>
        <v>Aquaculture (20g to 2kg) Grow-out Summary - Steady State - January, 2018</v>
      </c>
      <c r="B1" s="445"/>
      <c r="C1" s="445"/>
      <c r="D1" s="445"/>
      <c r="E1" s="445"/>
      <c r="F1" s="445"/>
      <c r="G1" s="445"/>
      <c r="H1" s="445"/>
      <c r="I1" s="446"/>
      <c r="J1" s="446"/>
    </row>
    <row r="2" spans="1:12" ht="7.5" customHeight="1">
      <c r="A2" s="447"/>
      <c r="B2" s="448"/>
      <c r="C2" s="448"/>
      <c r="D2" s="448"/>
      <c r="E2" s="448"/>
      <c r="F2" s="448"/>
      <c r="G2" s="448"/>
      <c r="H2" s="448"/>
      <c r="I2" s="448"/>
      <c r="J2" s="448"/>
      <c r="K2" s="24"/>
      <c r="L2" s="24"/>
    </row>
    <row r="3" spans="1:8" ht="14.25" customHeight="1">
      <c r="A3" s="9" t="s">
        <v>232</v>
      </c>
      <c r="B3" s="9"/>
      <c r="C3" s="9"/>
      <c r="E3" s="213" t="s">
        <v>264</v>
      </c>
      <c r="F3" s="213" t="s">
        <v>108</v>
      </c>
      <c r="G3" s="97"/>
      <c r="H3" s="11"/>
    </row>
    <row r="4" spans="1:9" ht="15.75" customHeight="1">
      <c r="A4" s="9" t="s">
        <v>17</v>
      </c>
      <c r="B4" s="9" t="s">
        <v>18</v>
      </c>
      <c r="C4" s="9"/>
      <c r="E4" s="97" t="s">
        <v>455</v>
      </c>
      <c r="F4" s="97" t="s">
        <v>454</v>
      </c>
      <c r="G4" s="12"/>
      <c r="H4" s="12"/>
      <c r="I4" s="98" t="s">
        <v>165</v>
      </c>
    </row>
    <row r="5" spans="1:9" s="136" customFormat="1" ht="15">
      <c r="A5" s="83"/>
      <c r="B5" s="215" t="s">
        <v>268</v>
      </c>
      <c r="E5" s="216">
        <f>'Finish-Worksheet'!D17</f>
        <v>0.0390938087788175</v>
      </c>
      <c r="F5" s="217">
        <f>ROUND(E5*'Finish Input'!G38,0)</f>
        <v>4693</v>
      </c>
      <c r="G5" s="217"/>
      <c r="H5" s="218"/>
      <c r="I5" s="21"/>
    </row>
    <row r="6" spans="1:9" ht="15">
      <c r="A6" s="12"/>
      <c r="B6" s="214" t="s">
        <v>267</v>
      </c>
      <c r="D6" s="394"/>
      <c r="E6" s="87">
        <f>'Finish-Worksheet'!D27</f>
        <v>0.19238896744103673</v>
      </c>
      <c r="F6" s="88">
        <f>ROUND(E6*'Finish Input'!G38,0)</f>
        <v>23096</v>
      </c>
      <c r="G6" s="88"/>
      <c r="H6" s="14"/>
      <c r="I6" s="22"/>
    </row>
    <row r="7" spans="1:9" ht="15">
      <c r="A7" s="12" t="s">
        <v>4</v>
      </c>
      <c r="B7" s="214" t="s">
        <v>266</v>
      </c>
      <c r="E7">
        <f>'Finish-Worksheet'!D37</f>
        <v>0.3065814775216223</v>
      </c>
      <c r="F7" s="88">
        <f>ROUND(E7*'Finish Input'!G38,0)</f>
        <v>36805</v>
      </c>
      <c r="G7" s="107"/>
      <c r="H7" s="17"/>
      <c r="I7" s="22"/>
    </row>
    <row r="8" spans="1:9" ht="15">
      <c r="A8" s="12"/>
      <c r="B8" s="214" t="s">
        <v>265</v>
      </c>
      <c r="E8" s="243">
        <f>'Finish-Worksheet'!D47</f>
        <v>0.4776748771290256</v>
      </c>
      <c r="F8" s="244">
        <f>ROUND(E8*'Finish Input'!G38,0)</f>
        <v>57345</v>
      </c>
      <c r="G8" s="107"/>
      <c r="H8" s="17"/>
      <c r="I8" s="22"/>
    </row>
    <row r="9" spans="1:9" s="136" customFormat="1" ht="15">
      <c r="A9" s="83"/>
      <c r="B9" s="215" t="s">
        <v>332</v>
      </c>
      <c r="E9" s="240">
        <f>'Finish-Worksheet'!D57</f>
        <v>1.06329663193317</v>
      </c>
      <c r="F9" s="107">
        <f>ROUND(E9*'Finish Input'!G38,0)</f>
        <v>127648</v>
      </c>
      <c r="G9" s="241"/>
      <c r="H9" s="242"/>
      <c r="I9" s="22"/>
    </row>
    <row r="10" spans="1:9" ht="15.75">
      <c r="A10" s="9" t="s">
        <v>40</v>
      </c>
      <c r="E10" s="91">
        <f>SUM(E5:E9)</f>
        <v>2.079035762803672</v>
      </c>
      <c r="F10" s="92">
        <f>SUM(F5:F9)</f>
        <v>249587</v>
      </c>
      <c r="G10" s="92"/>
      <c r="H10" s="10"/>
      <c r="I10" s="22"/>
    </row>
    <row r="11" spans="1:9" ht="7.5" customHeight="1">
      <c r="A11" s="12"/>
      <c r="B11" s="12"/>
      <c r="C11" s="12"/>
      <c r="E11" s="18"/>
      <c r="F11" s="12"/>
      <c r="G11" s="12"/>
      <c r="H11" s="12"/>
      <c r="I11" s="12"/>
    </row>
    <row r="12" spans="1:9" ht="15.75">
      <c r="A12" s="9" t="s">
        <v>25</v>
      </c>
      <c r="B12" s="9" t="s">
        <v>42</v>
      </c>
      <c r="C12" s="9"/>
      <c r="E12" s="18"/>
      <c r="F12" s="12"/>
      <c r="G12" s="12"/>
      <c r="H12" s="12"/>
      <c r="I12" s="12"/>
    </row>
    <row r="13" spans="1:9" ht="15.75">
      <c r="A13" s="9"/>
      <c r="B13" s="214" t="s">
        <v>269</v>
      </c>
      <c r="C13" s="9"/>
      <c r="E13" s="87">
        <f>'Finish-Worksheet'!D65</f>
        <v>0.21355196741151816</v>
      </c>
      <c r="F13" s="88">
        <f>ROUND(E13*'Finish Input'!G38,0)</f>
        <v>25637</v>
      </c>
      <c r="G13" s="88"/>
      <c r="H13" s="12"/>
      <c r="I13" s="16"/>
    </row>
    <row r="14" spans="1:9" ht="15">
      <c r="A14" s="12"/>
      <c r="B14" s="214" t="s">
        <v>355</v>
      </c>
      <c r="E14" s="87">
        <f>'Finish-Worksheet'!D71</f>
        <v>0.020824732179791437</v>
      </c>
      <c r="F14" s="88">
        <f>ROUND(E14*'Finish Input'!G38,0)</f>
        <v>2500</v>
      </c>
      <c r="G14" s="88"/>
      <c r="H14" s="14"/>
      <c r="I14" s="21"/>
    </row>
    <row r="15" spans="1:9" ht="15">
      <c r="A15" s="12"/>
      <c r="B15" s="12" t="s">
        <v>214</v>
      </c>
      <c r="E15" s="87">
        <f>'Finish-Worksheet'!D77</f>
        <v>0.09776795263768485</v>
      </c>
      <c r="F15" s="88">
        <f>ROUND(E15*'Finish Input'!G38,0)</f>
        <v>11737</v>
      </c>
      <c r="G15" s="88"/>
      <c r="H15" s="14"/>
      <c r="I15" s="22"/>
    </row>
    <row r="16" spans="1:9" ht="15">
      <c r="A16" s="12"/>
      <c r="B16" s="214" t="s">
        <v>305</v>
      </c>
      <c r="E16" s="87">
        <f>'Finish-Worksheet'!D83</f>
        <v>0.33694416666902544</v>
      </c>
      <c r="F16" s="88">
        <f>ROUND(E16*'Finish Input'!G38,0)</f>
        <v>40450</v>
      </c>
      <c r="G16" s="88"/>
      <c r="H16" s="14"/>
      <c r="I16" s="22"/>
    </row>
    <row r="17" spans="1:9" ht="15">
      <c r="A17" s="12"/>
      <c r="B17" s="214" t="s">
        <v>306</v>
      </c>
      <c r="E17" s="87">
        <f>'Finish-Worksheet'!D89</f>
        <v>0.011995045735559868</v>
      </c>
      <c r="F17" s="88">
        <f>ROUND(E17*'Finish Input'!G38,0)</f>
        <v>1440</v>
      </c>
      <c r="G17" s="88"/>
      <c r="H17" s="14"/>
      <c r="I17" s="22"/>
    </row>
    <row r="18" spans="1:9" ht="15">
      <c r="A18" s="12"/>
      <c r="B18" s="214" t="s">
        <v>307</v>
      </c>
      <c r="E18" s="87">
        <f>'Finish-Worksheet'!D95</f>
        <v>0.008329892871916574</v>
      </c>
      <c r="F18" s="88">
        <f>ROUND(E18*'Finish Input'!G38,0)</f>
        <v>1000</v>
      </c>
      <c r="G18" s="88"/>
      <c r="H18" s="14"/>
      <c r="I18" s="22"/>
    </row>
    <row r="19" spans="2:9" ht="15">
      <c r="B19" s="214" t="s">
        <v>308</v>
      </c>
      <c r="E19" s="87">
        <f>'Finish-Worksheet'!D100</f>
        <v>0.016659785743833148</v>
      </c>
      <c r="F19" s="88">
        <f>ROUND(E19*'Finish Input'!G38,0)</f>
        <v>2000</v>
      </c>
      <c r="G19" s="88"/>
      <c r="H19" s="14"/>
      <c r="I19" s="22"/>
    </row>
    <row r="20" spans="1:9" ht="15">
      <c r="A20" s="12"/>
      <c r="B20" s="214" t="s">
        <v>309</v>
      </c>
      <c r="E20" s="87">
        <f>'Finish-Worksheet'!D107</f>
        <v>0.031107984930172448</v>
      </c>
      <c r="F20" s="88">
        <f>ROUND(E20*'Finish Input'!G38,0)</f>
        <v>3735</v>
      </c>
      <c r="G20" s="88"/>
      <c r="H20" s="14"/>
      <c r="I20" s="22"/>
    </row>
    <row r="21" spans="1:9" ht="15">
      <c r="A21" s="12"/>
      <c r="B21" s="214" t="s">
        <v>334</v>
      </c>
      <c r="E21" s="87">
        <f>'Finish-Worksheet'!D112</f>
        <v>0.012494839307874862</v>
      </c>
      <c r="F21" s="88">
        <f>ROUND(E21*'Finish Input'!G38,0)</f>
        <v>1500</v>
      </c>
      <c r="G21" s="88"/>
      <c r="H21" s="14"/>
      <c r="I21" s="22"/>
    </row>
    <row r="22" spans="1:9" ht="15">
      <c r="A22" s="12"/>
      <c r="B22" s="214" t="s">
        <v>310</v>
      </c>
      <c r="E22" s="87">
        <f>'Finish-Worksheet'!D117</f>
        <v>0.004164946435958287</v>
      </c>
      <c r="F22" s="88">
        <f>ROUND(E22*'Finish Input'!G38,0)</f>
        <v>500</v>
      </c>
      <c r="G22" s="88"/>
      <c r="H22" s="14"/>
      <c r="I22" s="22"/>
    </row>
    <row r="23" spans="1:9" ht="15">
      <c r="A23" s="12"/>
      <c r="B23" s="214" t="s">
        <v>368</v>
      </c>
      <c r="E23" s="87">
        <f>'Finish-Worksheet'!D131</f>
        <v>0.10089793554037753</v>
      </c>
      <c r="F23" s="88">
        <f>ROUND(E23*'Finish Input'!G38,0)</f>
        <v>12113</v>
      </c>
      <c r="G23" s="88"/>
      <c r="H23" s="14"/>
      <c r="I23" s="22"/>
    </row>
    <row r="24" spans="1:11" ht="15">
      <c r="A24" s="12"/>
      <c r="B24" s="214" t="s">
        <v>311</v>
      </c>
      <c r="E24" s="297">
        <f>'Finish-Worksheet'!D143</f>
        <v>0.06158706294851519</v>
      </c>
      <c r="F24" s="88">
        <f>ROUND(E24*'Finish Input'!G38,0)</f>
        <v>7394</v>
      </c>
      <c r="G24" s="109"/>
      <c r="H24" s="17"/>
      <c r="I24" s="22"/>
      <c r="K24" s="136"/>
    </row>
    <row r="25" spans="1:9" ht="15">
      <c r="A25" s="12" t="s">
        <v>77</v>
      </c>
      <c r="E25" s="87">
        <f>SUM(E13:E24)+E10</f>
        <v>2.9953620752159</v>
      </c>
      <c r="F25" s="88">
        <f>SUM(F13:F24)+F10</f>
        <v>359593</v>
      </c>
      <c r="G25" s="88"/>
      <c r="H25" s="14"/>
      <c r="I25" s="22"/>
    </row>
    <row r="26" spans="1:9" ht="15">
      <c r="A26" s="12"/>
      <c r="B26" s="214" t="s">
        <v>369</v>
      </c>
      <c r="E26" s="353">
        <f>'Finish-Worksheet'!D161</f>
        <v>0.09210488540518379</v>
      </c>
      <c r="F26" s="354">
        <f>ROUND(E26*'Finish Input'!G38,0)</f>
        <v>11057</v>
      </c>
      <c r="G26" s="109"/>
      <c r="H26" s="17"/>
      <c r="I26" s="22"/>
    </row>
    <row r="27" spans="1:20" s="136" customFormat="1" ht="15">
      <c r="A27" s="83"/>
      <c r="B27" s="215" t="str">
        <f>"2.14 Ramp-up Costs (Amortized "&amp;'Finish Input'!G137&amp;" years)"</f>
        <v>2.14 Ramp-up Costs (Amortized 15 years)</v>
      </c>
      <c r="E27" s="170">
        <f>'Finish-Worksheet'!D167</f>
        <v>0.23369391990678412</v>
      </c>
      <c r="F27" s="389">
        <f>ROUND(E27*'Finish Input'!G38,0)</f>
        <v>28055</v>
      </c>
      <c r="G27" s="389"/>
      <c r="H27" s="242"/>
      <c r="I27" s="22"/>
      <c r="S27" s="350"/>
      <c r="T27" s="351"/>
    </row>
    <row r="28" spans="1:9" ht="15.75">
      <c r="A28" s="9" t="s">
        <v>96</v>
      </c>
      <c r="C28" s="9"/>
      <c r="E28" s="91">
        <f>SUM(E25:E27)</f>
        <v>3.321160880527868</v>
      </c>
      <c r="F28" s="92">
        <f>SUM(F25:F27)</f>
        <v>398705</v>
      </c>
      <c r="G28" s="92"/>
      <c r="H28" s="10"/>
      <c r="I28" s="22"/>
    </row>
    <row r="29" spans="1:9" ht="7.5" customHeight="1">
      <c r="A29" s="12"/>
      <c r="B29" s="12"/>
      <c r="C29" s="12"/>
      <c r="E29" s="18"/>
      <c r="F29" s="19"/>
      <c r="G29" s="19"/>
      <c r="H29" s="12"/>
      <c r="I29" s="12"/>
    </row>
    <row r="30" spans="1:9" ht="15.75">
      <c r="A30" s="9" t="s">
        <v>233</v>
      </c>
      <c r="B30" s="9"/>
      <c r="C30" s="9"/>
      <c r="E30" s="18"/>
      <c r="F30" s="19"/>
      <c r="G30" s="19"/>
      <c r="H30" s="12"/>
      <c r="I30" s="12"/>
    </row>
    <row r="31" spans="1:9" ht="15.75">
      <c r="A31" s="9" t="s">
        <v>29</v>
      </c>
      <c r="B31" s="9" t="s">
        <v>90</v>
      </c>
      <c r="C31" s="9"/>
      <c r="E31" s="18"/>
      <c r="F31" s="88"/>
      <c r="G31" s="88"/>
      <c r="H31" s="12"/>
      <c r="I31" s="12"/>
    </row>
    <row r="32" spans="1:9" ht="15">
      <c r="A32" s="12"/>
      <c r="B32" s="214" t="s">
        <v>333</v>
      </c>
      <c r="E32" s="87">
        <f>'Finish-Worksheet'!D181</f>
        <v>0.18592320890117794</v>
      </c>
      <c r="F32" s="88">
        <f>ROUND(E32*'Finish Input'!G38,0)</f>
        <v>22320</v>
      </c>
      <c r="G32" s="88"/>
      <c r="H32" s="14"/>
      <c r="I32" s="21"/>
    </row>
    <row r="33" spans="1:9" ht="15">
      <c r="A33" s="12"/>
      <c r="B33" s="12" t="s">
        <v>215</v>
      </c>
      <c r="E33" s="108">
        <f>'Finish-Worksheet'!D188</f>
        <v>0.5332797416600991</v>
      </c>
      <c r="F33" s="109">
        <f>ROUND(E33*'Finish Input'!G38,0)</f>
        <v>64020</v>
      </c>
      <c r="G33" s="109"/>
      <c r="H33" s="17"/>
      <c r="I33" s="22"/>
    </row>
    <row r="34" spans="1:9" ht="15.75">
      <c r="A34" s="9" t="s">
        <v>98</v>
      </c>
      <c r="C34" s="12"/>
      <c r="E34" s="91">
        <f>SUM(E32:E33)</f>
        <v>0.719202950561277</v>
      </c>
      <c r="F34" s="92">
        <f>SUM(F32:F33)</f>
        <v>86340</v>
      </c>
      <c r="G34" s="92"/>
      <c r="H34" s="14"/>
      <c r="I34" s="22"/>
    </row>
    <row r="35" spans="1:9" ht="7.5" customHeight="1">
      <c r="A35" s="12"/>
      <c r="B35" s="12"/>
      <c r="C35" s="12"/>
      <c r="E35" s="18"/>
      <c r="F35" s="19"/>
      <c r="G35" s="19"/>
      <c r="H35" s="12"/>
      <c r="I35" s="26"/>
    </row>
    <row r="36" spans="1:9" ht="15.75">
      <c r="A36" s="9" t="s">
        <v>34</v>
      </c>
      <c r="B36" s="9" t="s">
        <v>101</v>
      </c>
      <c r="C36" s="9"/>
      <c r="E36" s="87"/>
      <c r="F36" s="19" t="s">
        <v>4</v>
      </c>
      <c r="G36" s="19"/>
      <c r="H36" s="12"/>
      <c r="I36" s="27"/>
    </row>
    <row r="37" spans="1:9" ht="15.75">
      <c r="A37" s="9"/>
      <c r="B37" s="12" t="s">
        <v>216</v>
      </c>
      <c r="C37" s="9"/>
      <c r="E37" s="87">
        <f>'Finish-Worksheet'!D201</f>
        <v>0.01145360269888529</v>
      </c>
      <c r="F37" s="88">
        <f>ROUND(E37*'Finish Input'!G38,0)</f>
        <v>1375</v>
      </c>
      <c r="G37" s="88"/>
      <c r="H37" s="12"/>
      <c r="I37" s="21"/>
    </row>
    <row r="38" spans="1:9" ht="15">
      <c r="A38" s="12"/>
      <c r="B38" s="214" t="s">
        <v>335</v>
      </c>
      <c r="E38" s="87">
        <f>'Finish-Worksheet'!D210</f>
        <v>0.07811357040639767</v>
      </c>
      <c r="F38" s="88">
        <f>ROUND(E38*'Finish Input'!G38,0)</f>
        <v>9378</v>
      </c>
      <c r="G38" s="88"/>
      <c r="H38" s="14"/>
      <c r="I38" s="22"/>
    </row>
    <row r="39" spans="1:9" ht="15">
      <c r="A39" s="12"/>
      <c r="B39" s="12" t="s">
        <v>217</v>
      </c>
      <c r="E39" s="108">
        <f>'Finish-Worksheet'!D218</f>
        <v>0.13443093487681665</v>
      </c>
      <c r="F39" s="109">
        <f>ROUND(E39*'Finish Input'!G38,0)</f>
        <v>16138</v>
      </c>
      <c r="G39" s="109"/>
      <c r="H39" s="14"/>
      <c r="I39" s="22"/>
    </row>
    <row r="40" spans="1:9" ht="15.75">
      <c r="A40" s="9" t="s">
        <v>105</v>
      </c>
      <c r="C40" s="12"/>
      <c r="E40" s="95">
        <f>SUM(E37:E39)</f>
        <v>0.22399810798209963</v>
      </c>
      <c r="F40" s="96">
        <f>SUM(F37:F39)</f>
        <v>26891</v>
      </c>
      <c r="G40" s="96"/>
      <c r="H40" s="17"/>
      <c r="I40" s="22"/>
    </row>
    <row r="41" spans="1:9" ht="15.75">
      <c r="A41" s="9" t="s">
        <v>180</v>
      </c>
      <c r="C41" s="9"/>
      <c r="E41" s="91">
        <f>E34+E40</f>
        <v>0.9432010585433767</v>
      </c>
      <c r="F41" s="92">
        <f>F34+F40</f>
        <v>113231</v>
      </c>
      <c r="G41" s="92"/>
      <c r="H41" s="14"/>
      <c r="I41" s="22"/>
    </row>
    <row r="42" spans="1:12" ht="7.5" customHeight="1">
      <c r="A42" s="12"/>
      <c r="B42" s="12"/>
      <c r="C42" s="12"/>
      <c r="E42" s="18"/>
      <c r="F42" s="19"/>
      <c r="G42" s="19"/>
      <c r="H42" s="12"/>
      <c r="I42" s="12"/>
      <c r="K42" s="31"/>
      <c r="L42" s="31"/>
    </row>
    <row r="43" spans="1:9" ht="15.75">
      <c r="A43" s="9" t="s">
        <v>234</v>
      </c>
      <c r="C43" s="12"/>
      <c r="E43" s="18"/>
      <c r="F43" s="19"/>
      <c r="G43" s="19"/>
      <c r="H43" s="12"/>
      <c r="I43" s="12"/>
    </row>
    <row r="44" spans="1:9" ht="15">
      <c r="A44" s="12"/>
      <c r="B44" s="430" t="s">
        <v>437</v>
      </c>
      <c r="C44" s="12"/>
      <c r="D44" s="12"/>
      <c r="E44" s="87">
        <f>'Finish-Worksheet'!D225</f>
        <v>0.3465235434717295</v>
      </c>
      <c r="F44" s="88">
        <f>ROUND(E44*'Finish Input'!G38,0)</f>
        <v>41600</v>
      </c>
      <c r="G44" s="88"/>
      <c r="H44" s="17"/>
      <c r="I44" s="26"/>
    </row>
    <row r="45" spans="1:9" ht="7.5" customHeight="1">
      <c r="A45" s="12"/>
      <c r="B45" s="13"/>
      <c r="C45" s="12"/>
      <c r="D45" s="12"/>
      <c r="E45" s="28"/>
      <c r="F45" s="29"/>
      <c r="G45" s="29"/>
      <c r="H45" s="17"/>
      <c r="I45" s="21"/>
    </row>
    <row r="46" spans="1:9" ht="15.75">
      <c r="A46" s="140" t="s">
        <v>179</v>
      </c>
      <c r="B46" s="141"/>
      <c r="C46" s="140"/>
      <c r="D46" s="141"/>
      <c r="E46" s="142">
        <f>E28+E41+E44</f>
        <v>4.610885482542974</v>
      </c>
      <c r="F46" s="143">
        <f>F28+F41+F44</f>
        <v>553536</v>
      </c>
      <c r="G46" s="143"/>
      <c r="H46" s="144"/>
      <c r="I46" s="22"/>
    </row>
    <row r="47" spans="1:9" ht="7.5" customHeight="1">
      <c r="A47" s="140"/>
      <c r="B47" s="141"/>
      <c r="C47" s="140"/>
      <c r="D47" s="141"/>
      <c r="E47" s="142"/>
      <c r="F47" s="143"/>
      <c r="G47" s="143"/>
      <c r="H47" s="144"/>
      <c r="I47" s="144"/>
    </row>
    <row r="48" spans="1:10" ht="15.75" customHeight="1">
      <c r="A48" s="449" t="s">
        <v>245</v>
      </c>
      <c r="B48" s="449"/>
      <c r="C48" s="449"/>
      <c r="D48" s="449"/>
      <c r="E48" s="449"/>
      <c r="F48" s="449"/>
      <c r="G48" s="449"/>
      <c r="H48" s="449"/>
      <c r="I48" s="449"/>
      <c r="J48" s="449"/>
    </row>
    <row r="49" spans="1:9" ht="7.5" customHeight="1">
      <c r="A49" s="12"/>
      <c r="B49" s="12"/>
      <c r="C49" s="12"/>
      <c r="E49" s="146"/>
      <c r="F49" s="12"/>
      <c r="G49" s="12"/>
      <c r="H49" s="12"/>
      <c r="I49" s="12"/>
    </row>
    <row r="50" spans="1:9" ht="15.75" customHeight="1">
      <c r="A50" s="146" t="s">
        <v>237</v>
      </c>
      <c r="B50" s="147"/>
      <c r="C50" s="148"/>
      <c r="D50" s="148"/>
      <c r="E50" s="149" t="s">
        <v>270</v>
      </c>
      <c r="F50" s="134" t="s">
        <v>108</v>
      </c>
      <c r="G50" s="12"/>
      <c r="H50" s="12"/>
      <c r="I50" s="12"/>
    </row>
    <row r="51" spans="1:9" ht="15.75" customHeight="1">
      <c r="A51" s="147"/>
      <c r="B51" s="156" t="s">
        <v>385</v>
      </c>
      <c r="C51" s="148"/>
      <c r="D51" s="148"/>
      <c r="E51" s="150">
        <f>'Finish Input'!F11</f>
        <v>4.95</v>
      </c>
      <c r="G51" s="12"/>
      <c r="H51" s="12"/>
      <c r="I51" s="21"/>
    </row>
    <row r="52" spans="1:9" ht="15.75" customHeight="1">
      <c r="A52" s="147"/>
      <c r="B52" s="156" t="s">
        <v>434</v>
      </c>
      <c r="C52" s="148"/>
      <c r="D52" s="148"/>
      <c r="E52" s="206">
        <f>'Finish Input'!J18</f>
        <v>2</v>
      </c>
      <c r="G52" s="12"/>
      <c r="H52" s="12"/>
      <c r="I52" s="21"/>
    </row>
    <row r="53" spans="1:9" ht="15.75" customHeight="1">
      <c r="A53" s="147"/>
      <c r="B53" s="156" t="s">
        <v>432</v>
      </c>
      <c r="C53" s="148"/>
      <c r="D53" s="148"/>
      <c r="E53" s="207">
        <f>'Finish Input'!H12</f>
        <v>100</v>
      </c>
      <c r="G53" s="12"/>
      <c r="H53" s="12"/>
      <c r="I53" s="21"/>
    </row>
    <row r="54" spans="1:9" ht="15.75" customHeight="1">
      <c r="A54" s="147"/>
      <c r="B54" s="156" t="s">
        <v>273</v>
      </c>
      <c r="C54" s="148"/>
      <c r="D54" s="148"/>
      <c r="E54" s="208">
        <f>'Finish Input'!E12</f>
        <v>0</v>
      </c>
      <c r="G54" s="12"/>
      <c r="H54" s="12"/>
      <c r="I54" s="21"/>
    </row>
    <row r="55" spans="1:9" ht="15.75" customHeight="1">
      <c r="A55" s="147"/>
      <c r="B55" s="158" t="s">
        <v>274</v>
      </c>
      <c r="C55" s="148"/>
      <c r="D55" s="148"/>
      <c r="E55" s="152">
        <f>((E51+E54)*(E52*(E53/100))/E52)</f>
        <v>4.95</v>
      </c>
      <c r="F55" s="159">
        <f>ROUND(E55*'Finish Input'!G38,0)</f>
        <v>594245</v>
      </c>
      <c r="G55" s="12"/>
      <c r="H55" s="12"/>
      <c r="I55" s="21"/>
    </row>
    <row r="56" spans="1:9" ht="7.5" customHeight="1">
      <c r="A56" s="147"/>
      <c r="B56" s="151"/>
      <c r="C56" s="148"/>
      <c r="D56" s="148"/>
      <c r="E56" s="152"/>
      <c r="G56" s="12"/>
      <c r="H56" s="12"/>
      <c r="I56" s="12"/>
    </row>
    <row r="57" spans="1:9" ht="15.75" customHeight="1">
      <c r="A57" s="153" t="s">
        <v>238</v>
      </c>
      <c r="B57" s="154"/>
      <c r="C57" s="148"/>
      <c r="D57" s="148"/>
      <c r="E57" s="152"/>
      <c r="G57" s="12"/>
      <c r="H57" s="12"/>
      <c r="I57" s="12"/>
    </row>
    <row r="58" spans="1:9" ht="15.75" customHeight="1">
      <c r="A58" s="147"/>
      <c r="B58" s="151" t="s">
        <v>239</v>
      </c>
      <c r="C58" s="148"/>
      <c r="D58" s="148"/>
      <c r="E58" s="209">
        <f>SUM(E55-E28)</f>
        <v>1.6288391194721323</v>
      </c>
      <c r="F58" s="210">
        <f>ROUND(E58*'Finish Input'!G38,0)</f>
        <v>195541</v>
      </c>
      <c r="G58" s="12"/>
      <c r="H58" s="12"/>
      <c r="I58" s="21"/>
    </row>
    <row r="59" spans="1:9" ht="15.75" customHeight="1">
      <c r="A59" s="147"/>
      <c r="B59" s="151" t="s">
        <v>240</v>
      </c>
      <c r="C59" s="148"/>
      <c r="D59" s="148"/>
      <c r="E59" s="209">
        <f>SUM(E55-E28-E44)</f>
        <v>1.2823155760004028</v>
      </c>
      <c r="F59" s="210">
        <f>ROUND(E59*'Finish Input'!G38,0)</f>
        <v>153941</v>
      </c>
      <c r="G59" s="12"/>
      <c r="H59" s="12"/>
      <c r="I59" s="21"/>
    </row>
    <row r="60" spans="1:9" ht="15.75" customHeight="1">
      <c r="A60" s="147"/>
      <c r="B60" s="154" t="s">
        <v>241</v>
      </c>
      <c r="C60" s="148"/>
      <c r="D60" s="148"/>
      <c r="E60" s="155">
        <f>SUM(E55-E46)</f>
        <v>0.33911451745702603</v>
      </c>
      <c r="F60" s="160">
        <f>ROUND(E60*'Finish Input'!G38,0)</f>
        <v>40711</v>
      </c>
      <c r="G60" s="12"/>
      <c r="H60" s="12"/>
      <c r="I60" s="21"/>
    </row>
    <row r="61" spans="1:9" ht="7.5" customHeight="1">
      <c r="A61" s="147"/>
      <c r="B61" s="151"/>
      <c r="C61" s="148"/>
      <c r="D61" s="148"/>
      <c r="E61" s="155"/>
      <c r="F61" s="160"/>
      <c r="G61" s="12"/>
      <c r="H61" s="12"/>
      <c r="I61" s="21"/>
    </row>
    <row r="62" spans="1:9" s="136" customFormat="1" ht="15.75" customHeight="1">
      <c r="A62" s="301" t="s">
        <v>242</v>
      </c>
      <c r="C62" s="302"/>
      <c r="D62" s="302"/>
      <c r="E62" s="303">
        <f>SUM(E28/E55)</f>
        <v>0.6709415920258318</v>
      </c>
      <c r="G62" s="304"/>
      <c r="H62" s="83"/>
      <c r="I62" s="21"/>
    </row>
    <row r="63" spans="1:9" ht="7.5" customHeight="1">
      <c r="A63" s="147"/>
      <c r="B63" s="148"/>
      <c r="C63" s="148"/>
      <c r="D63" s="148"/>
      <c r="E63" s="147"/>
      <c r="G63" s="30"/>
      <c r="H63" s="12"/>
      <c r="I63" s="27"/>
    </row>
    <row r="64" spans="1:9" ht="15.75" customHeight="1">
      <c r="A64" s="153" t="s">
        <v>246</v>
      </c>
      <c r="B64" s="148"/>
      <c r="C64" s="148"/>
      <c r="D64" s="148"/>
      <c r="E64" s="97" t="s">
        <v>271</v>
      </c>
      <c r="F64" s="134" t="s">
        <v>108</v>
      </c>
      <c r="G64" s="30"/>
      <c r="H64" s="12"/>
      <c r="I64" s="27"/>
    </row>
    <row r="65" spans="1:11" ht="15.75" customHeight="1">
      <c r="A65" s="147"/>
      <c r="B65" s="151" t="s">
        <v>243</v>
      </c>
      <c r="C65" s="151"/>
      <c r="D65" s="151"/>
      <c r="E65" s="171">
        <f>E28/((E52*(E53/100))/E52)</f>
        <v>3.321160880527868</v>
      </c>
      <c r="F65" s="210">
        <f>ROUND(E65*'Finish Input'!G38,0)</f>
        <v>398704</v>
      </c>
      <c r="G65" s="30"/>
      <c r="H65" s="12"/>
      <c r="I65" s="21"/>
      <c r="K65" s="136"/>
    </row>
    <row r="66" spans="1:9" ht="15.75" customHeight="1">
      <c r="A66" s="147"/>
      <c r="B66" s="151" t="s">
        <v>244</v>
      </c>
      <c r="C66" s="151"/>
      <c r="D66" s="151"/>
      <c r="E66" s="171">
        <f>(E28+E44)/((E52*(E53/100))/E52)</f>
        <v>3.667684423999597</v>
      </c>
      <c r="F66" s="210">
        <f>ROUND(E66*'Finish Input'!G38,0)</f>
        <v>440304</v>
      </c>
      <c r="G66" s="15"/>
      <c r="H66" s="15"/>
      <c r="I66" s="21"/>
    </row>
    <row r="67" spans="1:11" ht="15.75" customHeight="1">
      <c r="A67" s="147"/>
      <c r="B67" s="154" t="s">
        <v>254</v>
      </c>
      <c r="C67" s="151"/>
      <c r="D67" s="151"/>
      <c r="E67" s="205">
        <f>E46/((E52*(E53/100))/E52)</f>
        <v>4.610885482542974</v>
      </c>
      <c r="F67" s="210">
        <f>ROUND(E67*'Finish Input'!G38,0)</f>
        <v>553535</v>
      </c>
      <c r="G67" s="23"/>
      <c r="H67" s="23"/>
      <c r="I67" s="21"/>
      <c r="J67" s="25"/>
      <c r="K67" s="25"/>
    </row>
    <row r="68" spans="1:9" ht="7.5" customHeight="1">
      <c r="A68" s="12"/>
      <c r="B68" s="12"/>
      <c r="C68" s="12"/>
      <c r="D68" s="12"/>
      <c r="E68" s="12"/>
      <c r="F68" s="12"/>
      <c r="G68" s="12"/>
      <c r="H68" s="12"/>
      <c r="I68" s="12"/>
    </row>
    <row r="69" spans="1:9" ht="15.75">
      <c r="A69" s="36" t="s">
        <v>190</v>
      </c>
      <c r="E69" s="295"/>
      <c r="F69" s="296">
        <f>((F60+F26+F40)-F44)/('Finish Input'!H83)</f>
        <v>0.03216927083333333</v>
      </c>
      <c r="I69" s="21"/>
    </row>
    <row r="70" spans="1:9" ht="15.75">
      <c r="A70" s="36" t="s">
        <v>371</v>
      </c>
      <c r="E70" s="295"/>
      <c r="F70" s="296">
        <f>(F55-F46)/F46</f>
        <v>0.0735435454965892</v>
      </c>
      <c r="I70" s="21"/>
    </row>
    <row r="71" ht="7.5" customHeight="1"/>
    <row r="72" spans="1:10" ht="12.75" customHeight="1">
      <c r="A72" s="450" t="s">
        <v>259</v>
      </c>
      <c r="B72" s="450"/>
      <c r="C72" s="450"/>
      <c r="D72" s="450"/>
      <c r="E72" s="450"/>
      <c r="F72" s="450"/>
      <c r="G72" s="450"/>
      <c r="H72" s="450"/>
      <c r="I72" s="450"/>
      <c r="J72" s="450"/>
    </row>
    <row r="73" spans="1:10" ht="12.75" customHeight="1">
      <c r="A73" s="450"/>
      <c r="B73" s="450"/>
      <c r="C73" s="450"/>
      <c r="D73" s="450"/>
      <c r="E73" s="450"/>
      <c r="F73" s="450"/>
      <c r="G73" s="450"/>
      <c r="H73" s="450"/>
      <c r="I73" s="450"/>
      <c r="J73" s="450"/>
    </row>
    <row r="74" spans="1:10" ht="12.75" customHeight="1">
      <c r="A74" s="450"/>
      <c r="B74" s="450"/>
      <c r="C74" s="450"/>
      <c r="D74" s="450"/>
      <c r="E74" s="450"/>
      <c r="F74" s="450"/>
      <c r="G74" s="450"/>
      <c r="H74" s="450"/>
      <c r="I74" s="450"/>
      <c r="J74" s="450"/>
    </row>
  </sheetData>
  <sheetProtection password="C6A6" sheet="1"/>
  <mergeCells count="4">
    <mergeCell ref="A1:J1"/>
    <mergeCell ref="A2:J2"/>
    <mergeCell ref="A48:J48"/>
    <mergeCell ref="A72:J74"/>
  </mergeCells>
  <printOptions/>
  <pageMargins left="1.141732283464567" right="0.7874015748031497" top="0.984251968503937" bottom="0.984251968503937" header="0.5118110236220472" footer="0.5118110236220472"/>
  <pageSetup firstPageNumber="3" useFirstPageNumber="1" fitToHeight="1" fitToWidth="1" horizontalDpi="600" verticalDpi="600" orientation="portrait" scale="63" r:id="rId1"/>
  <headerFooter alignWithMargins="0">
    <oddHeader>&amp;L&amp;9Guidelines: Aquaculture Production Costs
&amp;R&amp;10&amp;P</oddHeader>
    <oddFooter>&amp;RManitoba Agriculture, Farm Management</oddFooter>
  </headerFooter>
  <ignoredErrors>
    <ignoredError sqref="A4 A12 A36 A31" numberStoredAsText="1"/>
    <ignoredError sqref="F25"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X75"/>
  <sheetViews>
    <sheetView showGridLines="0" workbookViewId="0" topLeftCell="A1">
      <selection activeCell="A2" sqref="A2:J2"/>
    </sheetView>
  </sheetViews>
  <sheetFormatPr defaultColWidth="8.88671875" defaultRowHeight="15"/>
  <cols>
    <col min="1" max="1" width="2.3359375" style="0" customWidth="1"/>
    <col min="2" max="2" width="4.10546875" style="0" customWidth="1"/>
    <col min="3" max="3" width="6.77734375" style="0" customWidth="1"/>
    <col min="4" max="4" width="19.77734375" style="0" customWidth="1"/>
    <col min="5" max="5" width="8.3359375" style="0" hidden="1" customWidth="1"/>
    <col min="6" max="6" width="15.77734375" style="0" customWidth="1"/>
    <col min="7" max="7" width="2.5546875" style="0" customWidth="1"/>
    <col min="8" max="8" width="2.77734375" style="0" customWidth="1"/>
    <col min="9" max="9" width="15.5546875" style="0" customWidth="1"/>
    <col min="13" max="13" width="8.88671875" style="0" hidden="1" customWidth="1"/>
    <col min="14" max="14" width="12.99609375" style="331" hidden="1" customWidth="1"/>
    <col min="15" max="17" width="8.88671875" style="331" hidden="1" customWidth="1"/>
    <col min="18" max="18" width="9.77734375" style="331" hidden="1" customWidth="1"/>
    <col min="19" max="19" width="5.77734375" style="356" hidden="1" customWidth="1"/>
    <col min="20" max="20" width="11.6640625" style="357" hidden="1" customWidth="1"/>
    <col min="21" max="22" width="10.88671875" style="331" hidden="1" customWidth="1"/>
    <col min="23" max="23" width="9.88671875" style="331" hidden="1" customWidth="1"/>
    <col min="24" max="24" width="8.88671875" style="331" hidden="1" customWidth="1"/>
    <col min="25" max="25" width="8.88671875" style="0" hidden="1" customWidth="1"/>
  </cols>
  <sheetData>
    <row r="1" spans="1:24" ht="21.75" customHeight="1">
      <c r="A1" s="444" t="str">
        <f>"Aquaculture ("&amp;'Finish Input'!I10*1000&amp;"g to "&amp;'Finish Input'!J18&amp;"kg) Grow-out Summary - Ramp-up - "&amp;Introduction!G12</f>
        <v>Aquaculture (20g to 2kg) Grow-out Summary - Ramp-up - January, 2018</v>
      </c>
      <c r="B1" s="444"/>
      <c r="C1" s="444"/>
      <c r="D1" s="444"/>
      <c r="E1" s="444"/>
      <c r="F1" s="444"/>
      <c r="G1" s="444"/>
      <c r="H1" s="444"/>
      <c r="I1" s="444"/>
      <c r="J1" s="444"/>
      <c r="K1" s="431"/>
      <c r="S1" s="356" t="s">
        <v>394</v>
      </c>
      <c r="T1" s="357" t="s">
        <v>386</v>
      </c>
      <c r="U1" s="331" t="s">
        <v>388</v>
      </c>
      <c r="V1" s="331" t="s">
        <v>389</v>
      </c>
      <c r="W1" s="331" t="s">
        <v>390</v>
      </c>
      <c r="X1" s="331" t="s">
        <v>391</v>
      </c>
    </row>
    <row r="2" spans="1:12" ht="7.5" customHeight="1">
      <c r="A2" s="447"/>
      <c r="B2" s="448"/>
      <c r="C2" s="448"/>
      <c r="D2" s="448"/>
      <c r="E2" s="448"/>
      <c r="F2" s="448"/>
      <c r="G2" s="448"/>
      <c r="H2" s="448"/>
      <c r="I2" s="448"/>
      <c r="J2" s="448"/>
      <c r="K2" s="24"/>
      <c r="L2" s="24"/>
    </row>
    <row r="3" spans="1:24" ht="15" customHeight="1">
      <c r="A3" s="9" t="s">
        <v>232</v>
      </c>
      <c r="B3" s="9"/>
      <c r="C3" s="9"/>
      <c r="E3" s="359" t="s">
        <v>410</v>
      </c>
      <c r="F3" s="213" t="s">
        <v>108</v>
      </c>
      <c r="G3" s="97"/>
      <c r="H3" s="11"/>
      <c r="I3" s="98"/>
      <c r="N3" s="372" t="s">
        <v>392</v>
      </c>
      <c r="O3" s="355">
        <f>'Finish Input'!G36</f>
        <v>412</v>
      </c>
      <c r="P3" s="355"/>
      <c r="Q3" s="375" t="s">
        <v>395</v>
      </c>
      <c r="R3" s="331" t="s">
        <v>393</v>
      </c>
      <c r="U3" s="331">
        <f>('Steady State Summary'!F13/'Ramp-up Cost Summary'!O4)*O14</f>
        <v>7234.550684931507</v>
      </c>
      <c r="V3" s="331">
        <f>('Steady State Summary'!F13/'Ramp-up Cost Summary'!O4)*O14</f>
        <v>7234.550684931507</v>
      </c>
      <c r="W3" s="331">
        <f>('Steady State Summary'!F13/'Ramp-up Cost Summary'!O4)*O14</f>
        <v>7234.550684931507</v>
      </c>
      <c r="X3" s="331">
        <f>('Steady State Summary'!F13/'Ramp-up Cost Summary'!O4)*O14</f>
        <v>7234.550684931507</v>
      </c>
    </row>
    <row r="4" spans="1:24" s="136" customFormat="1" ht="15" customHeight="1">
      <c r="A4" s="9" t="s">
        <v>17</v>
      </c>
      <c r="B4" s="9" t="s">
        <v>18</v>
      </c>
      <c r="C4" s="9"/>
      <c r="D4"/>
      <c r="E4" s="360" t="s">
        <v>409</v>
      </c>
      <c r="F4" s="97" t="s">
        <v>141</v>
      </c>
      <c r="G4" s="12"/>
      <c r="H4" s="12"/>
      <c r="I4" s="98" t="s">
        <v>165</v>
      </c>
      <c r="J4"/>
      <c r="N4" s="331" t="s">
        <v>387</v>
      </c>
      <c r="O4" s="355">
        <v>4</v>
      </c>
      <c r="P4" s="355"/>
      <c r="Q4" s="355">
        <v>1</v>
      </c>
      <c r="R4" s="331" t="s">
        <v>282</v>
      </c>
      <c r="S4" s="356">
        <f>'Finish Input'!F21</f>
        <v>38</v>
      </c>
      <c r="T4" s="357">
        <f>IF((S4+T5)&gt;S4,S4,(S4+T5))</f>
        <v>38</v>
      </c>
      <c r="U4" s="331">
        <f>IF(T4&gt;0,(T4/S4)*((('Finish-Worksheet'!D17*'Finish Input'!C58)*O14)/O4),0)</f>
        <v>1324.3809600000004</v>
      </c>
      <c r="V4" s="331"/>
      <c r="W4" s="331"/>
      <c r="X4" s="331"/>
    </row>
    <row r="5" spans="1:21" ht="14.25" customHeight="1">
      <c r="A5" s="83"/>
      <c r="B5" s="215" t="s">
        <v>268</v>
      </c>
      <c r="C5" s="136"/>
      <c r="D5" s="136"/>
      <c r="E5" s="216">
        <f>F5/'Finish Input'!C58</f>
        <v>0.04412780607362413</v>
      </c>
      <c r="F5" s="217">
        <f>U4+V9+W14+X19</f>
        <v>5297.523840000002</v>
      </c>
      <c r="G5" s="217"/>
      <c r="H5" s="218"/>
      <c r="I5" s="21"/>
      <c r="J5" s="136"/>
      <c r="O5" s="331" t="s">
        <v>400</v>
      </c>
      <c r="P5" s="376" t="s">
        <v>401</v>
      </c>
      <c r="Q5" s="355">
        <v>1</v>
      </c>
      <c r="R5" s="331" t="s">
        <v>283</v>
      </c>
      <c r="S5" s="356">
        <f>'Finish Input'!G21</f>
        <v>90</v>
      </c>
      <c r="T5" s="357">
        <f>IF((S5+T6)&gt;S5,S5,(S5+T6))</f>
        <v>90</v>
      </c>
      <c r="U5" s="331">
        <f>IF(T5&gt;0,(T5/S5)*((('Finish-Worksheet'!D27*'Finish Input'!C58)*O14)/O4),0)</f>
        <v>6517.561050000001</v>
      </c>
    </row>
    <row r="6" spans="1:21" ht="15.75" customHeight="1">
      <c r="A6" s="12"/>
      <c r="B6" s="214" t="s">
        <v>267</v>
      </c>
      <c r="E6" s="216">
        <f>F6/'Finish Input'!C58</f>
        <v>0.19604933592355264</v>
      </c>
      <c r="F6" s="88">
        <f>U5+V10+W15+X20</f>
        <v>23535.637125000005</v>
      </c>
      <c r="G6" s="88"/>
      <c r="H6" s="14"/>
      <c r="I6" s="22"/>
      <c r="N6" s="331" t="s">
        <v>399</v>
      </c>
      <c r="O6" s="377">
        <f>O3</f>
        <v>412</v>
      </c>
      <c r="P6" s="377">
        <f>O3-O6</f>
        <v>0</v>
      </c>
      <c r="Q6" s="355">
        <v>1</v>
      </c>
      <c r="R6" s="331" t="s">
        <v>284</v>
      </c>
      <c r="S6" s="356">
        <f>'Finish Input'!H21</f>
        <v>79</v>
      </c>
      <c r="T6" s="357">
        <f>IF((S6+T7)&gt;S6,S6,(S6+T7))</f>
        <v>79</v>
      </c>
      <c r="U6" s="331">
        <f>IF(T6&gt;0,(T6/S6)*((('Finish-Worksheet'!D37*'Finish Input'!C58)*O14)/O4),0)</f>
        <v>10386.060714</v>
      </c>
    </row>
    <row r="7" spans="1:24" s="136" customFormat="1" ht="15">
      <c r="A7" s="12" t="s">
        <v>4</v>
      </c>
      <c r="B7" s="214" t="s">
        <v>266</v>
      </c>
      <c r="C7"/>
      <c r="D7"/>
      <c r="E7" s="216">
        <f>F7/'Finish Input'!C58</f>
        <v>0.2474979585139006</v>
      </c>
      <c r="F7" s="88">
        <f>U6+V11+W16+X21</f>
        <v>29712.02178941772</v>
      </c>
      <c r="G7" s="107"/>
      <c r="H7" s="17"/>
      <c r="I7" s="22"/>
      <c r="J7"/>
      <c r="N7" s="331" t="s">
        <v>396</v>
      </c>
      <c r="O7" s="377">
        <f>O3-(O6/O4)</f>
        <v>309</v>
      </c>
      <c r="P7" s="377">
        <f>O3-O7</f>
        <v>103</v>
      </c>
      <c r="Q7" s="355">
        <v>1</v>
      </c>
      <c r="R7" s="331" t="s">
        <v>285</v>
      </c>
      <c r="S7" s="356">
        <f>'Finish Input'!I21</f>
        <v>82</v>
      </c>
      <c r="T7" s="357">
        <f>IF((S7+T8)&gt;S7,S7,(S7+T8))</f>
        <v>82</v>
      </c>
      <c r="U7" s="331">
        <f>IF(T7&gt;0,(T7/S7)*((('Finish-Worksheet'!D47*'Finish Input'!C58)*O14)/O4),0)</f>
        <v>16182.191812500001</v>
      </c>
      <c r="V7" s="331"/>
      <c r="W7" s="331"/>
      <c r="X7" s="331"/>
    </row>
    <row r="8" spans="1:21" ht="15">
      <c r="A8" s="12"/>
      <c r="B8" s="214" t="s">
        <v>265</v>
      </c>
      <c r="E8" s="216">
        <f>F8/'Finish Input'!C58</f>
        <v>0.269591848461861</v>
      </c>
      <c r="F8" s="244">
        <f>U7+V12+W17+X22</f>
        <v>32364.383625000002</v>
      </c>
      <c r="G8" s="107"/>
      <c r="H8" s="17"/>
      <c r="I8" s="22"/>
      <c r="N8" s="331" t="s">
        <v>397</v>
      </c>
      <c r="O8" s="377">
        <f>O3-((O3/O4)*2)</f>
        <v>206</v>
      </c>
      <c r="P8" s="377">
        <f>O3-O8</f>
        <v>206</v>
      </c>
      <c r="Q8" s="355">
        <v>1</v>
      </c>
      <c r="R8" s="331" t="s">
        <v>343</v>
      </c>
      <c r="S8" s="356">
        <f>'Finish Input'!J21</f>
        <v>113</v>
      </c>
      <c r="T8" s="357">
        <f>S8-P6</f>
        <v>113</v>
      </c>
      <c r="U8" s="331">
        <f>IF(T8&gt;0,(T8/S8)*((('Finish-Worksheet'!D57*'Finish Input'!C58)*O14)/O4),0)</f>
        <v>36021.3</v>
      </c>
    </row>
    <row r="9" spans="1:22" ht="15">
      <c r="A9" s="83"/>
      <c r="B9" s="215" t="s">
        <v>332</v>
      </c>
      <c r="C9" s="136"/>
      <c r="D9" s="136"/>
      <c r="E9" s="216">
        <f>F9/'Finish Input'!C58</f>
        <v>0.32660698339098876</v>
      </c>
      <c r="F9" s="107">
        <f>U8+V13+W18+X23</f>
        <v>39209.02566371682</v>
      </c>
      <c r="G9" s="241"/>
      <c r="H9" s="242"/>
      <c r="I9" s="22"/>
      <c r="J9" s="136"/>
      <c r="N9" s="331" t="s">
        <v>398</v>
      </c>
      <c r="O9" s="377">
        <f>O3-((O3/O4)*3)</f>
        <v>103</v>
      </c>
      <c r="P9" s="377">
        <f>O3-O9</f>
        <v>309</v>
      </c>
      <c r="Q9" s="355">
        <v>2</v>
      </c>
      <c r="R9" s="331" t="s">
        <v>282</v>
      </c>
      <c r="S9" s="356">
        <f>'Finish Input'!F21</f>
        <v>38</v>
      </c>
      <c r="T9" s="357">
        <f>IF((S9+T10)&gt;S9,S9,(S9+T10))</f>
        <v>38</v>
      </c>
      <c r="V9" s="331">
        <f>IF(T9&gt;0,(T9/S9)*((('Finish-Worksheet'!D17*'Finish Input'!C58)*O14)/O4),0)</f>
        <v>1324.3809600000004</v>
      </c>
    </row>
    <row r="10" spans="1:22" ht="15.75">
      <c r="A10" s="9" t="s">
        <v>40</v>
      </c>
      <c r="E10" s="91">
        <f>SUM(E5:E9)</f>
        <v>1.0838739323639273</v>
      </c>
      <c r="F10" s="92">
        <f>SUM(F5:F9)</f>
        <v>130118.59204313454</v>
      </c>
      <c r="G10" s="92"/>
      <c r="H10" s="10"/>
      <c r="I10" s="22"/>
      <c r="Q10" s="355">
        <v>2</v>
      </c>
      <c r="R10" s="331" t="s">
        <v>283</v>
      </c>
      <c r="S10" s="356">
        <f>'Finish Input'!G21</f>
        <v>90</v>
      </c>
      <c r="T10" s="357">
        <f>IF((S10+T11)&gt;S10,S10,(S10+T11))</f>
        <v>90</v>
      </c>
      <c r="V10" s="331">
        <f>IF(T10&gt;0,(T10/S10)*((('Finish-Worksheet'!D27*'Finish Input'!C58)*O14)/O4),0)</f>
        <v>6517.561050000001</v>
      </c>
    </row>
    <row r="11" spans="1:24" s="136" customFormat="1" ht="15">
      <c r="A11" s="12"/>
      <c r="B11" s="12"/>
      <c r="C11" s="12"/>
      <c r="D11"/>
      <c r="E11" s="18"/>
      <c r="F11" s="12"/>
      <c r="G11" s="12"/>
      <c r="H11" s="12"/>
      <c r="I11" s="12"/>
      <c r="J11"/>
      <c r="N11" s="331"/>
      <c r="O11" s="331"/>
      <c r="P11" s="331"/>
      <c r="Q11" s="355">
        <v>2</v>
      </c>
      <c r="R11" s="331" t="s">
        <v>284</v>
      </c>
      <c r="S11" s="356">
        <f>'Finish Input'!H21</f>
        <v>79</v>
      </c>
      <c r="T11" s="357">
        <f>IF((S11+T12)&gt;S11,S11,(S11+T12))</f>
        <v>79</v>
      </c>
      <c r="U11" s="331"/>
      <c r="V11" s="331">
        <f>IF(T11&gt;0,(T11/S11)*((('Finish-Worksheet'!D37*'Finish Input'!C58)*O14)/O4),0)</f>
        <v>10386.060714</v>
      </c>
      <c r="W11" s="331"/>
      <c r="X11" s="331"/>
    </row>
    <row r="12" spans="1:22" ht="15.75">
      <c r="A12" s="9" t="s">
        <v>25</v>
      </c>
      <c r="B12" s="9" t="s">
        <v>42</v>
      </c>
      <c r="C12" s="9"/>
      <c r="E12" s="18"/>
      <c r="F12" s="12"/>
      <c r="G12" s="12"/>
      <c r="H12" s="12"/>
      <c r="I12" s="12"/>
      <c r="N12" s="331" t="s">
        <v>405</v>
      </c>
      <c r="O12" s="355">
        <v>365</v>
      </c>
      <c r="Q12" s="355">
        <v>2</v>
      </c>
      <c r="R12" s="331" t="s">
        <v>285</v>
      </c>
      <c r="S12" s="356">
        <f>'Finish Input'!I21</f>
        <v>82</v>
      </c>
      <c r="T12" s="357">
        <f>IF((S12+T13)&gt;S12,S12,(S12+T13))</f>
        <v>82</v>
      </c>
      <c r="V12" s="331">
        <f>IF(T12&gt;0,(T12/S12)*((('Finish-Worksheet'!D47*'Finish Input'!C58)*O14)/O4),0)</f>
        <v>16182.191812500001</v>
      </c>
    </row>
    <row r="13" spans="1:22" ht="15" customHeight="1">
      <c r="A13" s="212"/>
      <c r="B13" s="215" t="s">
        <v>269</v>
      </c>
      <c r="C13" s="212"/>
      <c r="D13" s="136"/>
      <c r="E13" s="216">
        <f>F13/'Finish Input'!C58</f>
        <v>0.24105212872772053</v>
      </c>
      <c r="F13" s="217">
        <f>U3+V3+W3+X3</f>
        <v>28938.202739726028</v>
      </c>
      <c r="G13" s="217"/>
      <c r="H13" s="83"/>
      <c r="I13" s="358"/>
      <c r="J13" s="136"/>
      <c r="Q13" s="355">
        <v>2</v>
      </c>
      <c r="R13" s="331" t="s">
        <v>343</v>
      </c>
      <c r="S13" s="356">
        <f>'Finish Input'!J21</f>
        <v>113</v>
      </c>
      <c r="T13" s="357">
        <f>S13-P7</f>
        <v>10</v>
      </c>
      <c r="V13" s="331">
        <f>IF(T13&gt;0,(T13/S13)*((('Finish-Worksheet'!D57*'Finish Input'!C58)*O14)/O4),0)</f>
        <v>3187.7256637168143</v>
      </c>
    </row>
    <row r="14" spans="1:23" ht="15">
      <c r="A14" s="12"/>
      <c r="B14" s="214" t="s">
        <v>355</v>
      </c>
      <c r="E14" s="87">
        <f>'Finish-Worksheet'!D71*O14</f>
        <v>0.023506273035819376</v>
      </c>
      <c r="F14" s="88">
        <f>ROUND(E14*'Finish Input'!G38,0)</f>
        <v>2822</v>
      </c>
      <c r="G14" s="88"/>
      <c r="H14" s="14"/>
      <c r="I14" s="21"/>
      <c r="N14" s="331" t="s">
        <v>406</v>
      </c>
      <c r="O14" s="378">
        <f>O3/O12</f>
        <v>1.1287671232876713</v>
      </c>
      <c r="Q14" s="355">
        <v>3</v>
      </c>
      <c r="R14" s="331" t="s">
        <v>282</v>
      </c>
      <c r="S14" s="356">
        <f>'Finish Input'!F21</f>
        <v>38</v>
      </c>
      <c r="T14" s="357">
        <f aca="true" t="shared" si="0" ref="T14:T22">IF((S14+T15)&gt;S14,S14,(S14+T15))</f>
        <v>38</v>
      </c>
      <c r="W14" s="331">
        <f>IF(T14&gt;0,(T14/S14)*((('Finish-Worksheet'!D17*'Finish Input'!C58)*O14)/O4),0)</f>
        <v>1324.3809600000004</v>
      </c>
    </row>
    <row r="15" spans="1:24" s="136" customFormat="1" ht="15">
      <c r="A15" s="12"/>
      <c r="B15" s="12" t="s">
        <v>214</v>
      </c>
      <c r="C15"/>
      <c r="D15"/>
      <c r="E15" s="87">
        <f>'Finish-Worksheet'!D77*O14</f>
        <v>0.11035725064856483</v>
      </c>
      <c r="F15" s="88">
        <f>ROUND(E15*'Finish Input'!G38,0)</f>
        <v>13248</v>
      </c>
      <c r="G15" s="88"/>
      <c r="H15" s="14"/>
      <c r="I15" s="22"/>
      <c r="J15"/>
      <c r="N15" s="331"/>
      <c r="O15" s="331"/>
      <c r="P15" s="331"/>
      <c r="Q15" s="355">
        <v>3</v>
      </c>
      <c r="R15" s="331" t="s">
        <v>283</v>
      </c>
      <c r="S15" s="356">
        <f>'Finish Input'!G21</f>
        <v>90</v>
      </c>
      <c r="T15" s="357">
        <f t="shared" si="0"/>
        <v>90</v>
      </c>
      <c r="U15" s="331"/>
      <c r="V15" s="331"/>
      <c r="W15" s="331">
        <f>IF(T15&gt;0,(T15/S15)*((('Finish-Worksheet'!D27*'Finish Input'!C58)*O14)/O4),0)</f>
        <v>6517.561050000001</v>
      </c>
      <c r="X15" s="331"/>
    </row>
    <row r="16" spans="1:23" ht="15">
      <c r="A16" s="12"/>
      <c r="B16" s="214" t="s">
        <v>305</v>
      </c>
      <c r="E16" s="87">
        <f>('Finish-Worksheet'!D83*O16)*O14</f>
        <v>0.28524862328966816</v>
      </c>
      <c r="F16" s="88">
        <f>ROUND(E16*'Finish Input'!G38,0)</f>
        <v>34244</v>
      </c>
      <c r="G16" s="88"/>
      <c r="H16" s="14"/>
      <c r="I16" s="22"/>
      <c r="N16" s="331" t="s">
        <v>407</v>
      </c>
      <c r="O16" s="379">
        <v>0.75</v>
      </c>
      <c r="Q16" s="355">
        <v>3</v>
      </c>
      <c r="R16" s="331" t="s">
        <v>284</v>
      </c>
      <c r="S16" s="356">
        <f>'Finish Input'!H21</f>
        <v>79</v>
      </c>
      <c r="T16" s="357">
        <f t="shared" si="0"/>
        <v>68</v>
      </c>
      <c r="W16" s="331">
        <f>IF(T16&gt;0,(T16/S16)*((('Finish-Worksheet'!D37*'Finish Input'!C58)*O14)/O4),0)</f>
        <v>8939.900361417722</v>
      </c>
    </row>
    <row r="17" spans="1:23" ht="15">
      <c r="A17" s="12"/>
      <c r="B17" s="214" t="s">
        <v>306</v>
      </c>
      <c r="E17" s="87">
        <f>'Finish-Worksheet'!D89*O14</f>
        <v>0.013539613268631961</v>
      </c>
      <c r="F17" s="88">
        <f>ROUND(E17*'Finish Input'!G38,0)</f>
        <v>1625</v>
      </c>
      <c r="G17" s="88"/>
      <c r="H17" s="14"/>
      <c r="I17" s="22"/>
      <c r="Q17" s="355">
        <v>3</v>
      </c>
      <c r="R17" s="331" t="s">
        <v>285</v>
      </c>
      <c r="S17" s="356">
        <f>'Finish Input'!I21</f>
        <v>82</v>
      </c>
      <c r="T17" s="357">
        <f t="shared" si="0"/>
        <v>-11</v>
      </c>
      <c r="W17" s="331">
        <f>IF(T17&gt;0,(T17/S17)*((('Finish-Worksheet'!D47*'Finish Input'!C58)*O14)/O4),0)</f>
        <v>0</v>
      </c>
    </row>
    <row r="18" spans="1:23" ht="15">
      <c r="A18" s="12"/>
      <c r="B18" s="214" t="s">
        <v>307</v>
      </c>
      <c r="E18" s="87">
        <f>'Finish-Worksheet'!D95*O14</f>
        <v>0.00940250921432775</v>
      </c>
      <c r="F18" s="88">
        <f>ROUND(E18*'Finish Input'!G38,0)</f>
        <v>1129</v>
      </c>
      <c r="G18" s="88"/>
      <c r="H18" s="14"/>
      <c r="I18" s="22"/>
      <c r="Q18" s="355">
        <v>3</v>
      </c>
      <c r="R18" s="331" t="s">
        <v>343</v>
      </c>
      <c r="S18" s="356">
        <f>'Finish Input'!J21</f>
        <v>113</v>
      </c>
      <c r="T18" s="357">
        <f>S18-P8</f>
        <v>-93</v>
      </c>
      <c r="W18" s="331">
        <f>IF(T18&gt;0,(T18/S18)*((('Finish-Worksheet'!D57*'Finish Input'!C58)*O14)/O4),0)</f>
        <v>0</v>
      </c>
    </row>
    <row r="19" spans="2:24" ht="15">
      <c r="B19" s="214" t="s">
        <v>308</v>
      </c>
      <c r="E19" s="87">
        <f>'Finish-Worksheet'!D100*O14</f>
        <v>0.0188050184286555</v>
      </c>
      <c r="F19" s="88">
        <f>ROUND(E19*'Finish Input'!G38,0)</f>
        <v>2258</v>
      </c>
      <c r="G19" s="88"/>
      <c r="H19" s="14"/>
      <c r="I19" s="22"/>
      <c r="Q19" s="355">
        <v>4</v>
      </c>
      <c r="R19" s="331" t="s">
        <v>282</v>
      </c>
      <c r="S19" s="356">
        <f>'Finish Input'!F21</f>
        <v>38</v>
      </c>
      <c r="T19" s="357">
        <f t="shared" si="0"/>
        <v>38</v>
      </c>
      <c r="X19" s="331">
        <f>IF(T19&gt;0,(T19/S19)*((('Finish-Worksheet'!D17*'Finish Input'!C58)*O14)/O4),0)</f>
        <v>1324.3809600000004</v>
      </c>
    </row>
    <row r="20" spans="1:24" ht="15">
      <c r="A20" s="12"/>
      <c r="B20" s="214" t="s">
        <v>309</v>
      </c>
      <c r="E20" s="87">
        <f>'Finish-Worksheet'!D107*O14</f>
        <v>0.03511367066090698</v>
      </c>
      <c r="F20" s="88">
        <f>ROUND(E20*'Finish Input'!G38,0)</f>
        <v>4215</v>
      </c>
      <c r="G20" s="88"/>
      <c r="H20" s="14"/>
      <c r="I20" s="22"/>
      <c r="Q20" s="355">
        <v>4</v>
      </c>
      <c r="R20" s="331" t="s">
        <v>283</v>
      </c>
      <c r="S20" s="356">
        <f>'Finish Input'!G21</f>
        <v>90</v>
      </c>
      <c r="T20" s="357">
        <f t="shared" si="0"/>
        <v>55</v>
      </c>
      <c r="X20" s="331">
        <f>IF(T20&gt;0,(T20/S20)*((('Finish-Worksheet'!D27*'Finish Input'!C58)*O14)/O4),0)</f>
        <v>3982.953975000001</v>
      </c>
    </row>
    <row r="21" spans="1:24" ht="15">
      <c r="A21" s="12"/>
      <c r="B21" s="214" t="s">
        <v>334</v>
      </c>
      <c r="E21" s="87">
        <f>'Finish-Worksheet'!D112*O14</f>
        <v>0.014103763821491625</v>
      </c>
      <c r="F21" s="88">
        <f>ROUND(E21*'Finish Input'!G38,0)</f>
        <v>1693</v>
      </c>
      <c r="G21" s="88"/>
      <c r="H21" s="14"/>
      <c r="I21" s="22"/>
      <c r="Q21" s="355">
        <v>4</v>
      </c>
      <c r="R21" s="331" t="s">
        <v>284</v>
      </c>
      <c r="S21" s="356">
        <f>'Finish Input'!H21</f>
        <v>79</v>
      </c>
      <c r="T21" s="357">
        <f t="shared" si="0"/>
        <v>-35</v>
      </c>
      <c r="X21" s="331">
        <f>IF(T21&gt;0,(T21/S21)*((('Finish-Worksheet'!D37*'Finish Input'!C58)*O14)/O4),0)</f>
        <v>0</v>
      </c>
    </row>
    <row r="22" spans="1:24" ht="15">
      <c r="A22" s="12"/>
      <c r="B22" s="214" t="s">
        <v>310</v>
      </c>
      <c r="E22" s="87">
        <f>'Finish-Worksheet'!D117*O14</f>
        <v>0.004701254607163875</v>
      </c>
      <c r="F22" s="88">
        <f>ROUND(E22*'Finish Input'!G38,0)</f>
        <v>564</v>
      </c>
      <c r="G22" s="88"/>
      <c r="H22" s="14"/>
      <c r="I22" s="22"/>
      <c r="Q22" s="355">
        <v>4</v>
      </c>
      <c r="R22" s="331" t="s">
        <v>285</v>
      </c>
      <c r="S22" s="356">
        <f>'Finish Input'!I21</f>
        <v>82</v>
      </c>
      <c r="T22" s="357">
        <f t="shared" si="0"/>
        <v>-114</v>
      </c>
      <c r="X22" s="331">
        <f>IF(T22&gt;0,(T22/S22)*((('Finish-Worksheet'!D47*'Finish Input'!C58)*O14)/O4),0)</f>
        <v>0</v>
      </c>
    </row>
    <row r="23" spans="1:24" ht="15">
      <c r="A23" s="12"/>
      <c r="B23" s="214" t="s">
        <v>368</v>
      </c>
      <c r="E23" s="87">
        <f>'Finish-Worksheet'!D131*O14</f>
        <v>0.11389027244557683</v>
      </c>
      <c r="F23" s="88">
        <f>ROUND(E23*'Finish Input'!G38,0)</f>
        <v>13672</v>
      </c>
      <c r="G23" s="88"/>
      <c r="H23" s="14"/>
      <c r="I23" s="22"/>
      <c r="Q23" s="355">
        <v>4</v>
      </c>
      <c r="R23" s="331" t="s">
        <v>343</v>
      </c>
      <c r="S23" s="356">
        <f>'Finish Input'!J21</f>
        <v>113</v>
      </c>
      <c r="T23" s="357">
        <f>S23-P9</f>
        <v>-196</v>
      </c>
      <c r="X23" s="331">
        <f>IF(T23&gt;0,(T23/S23)*((('Finish-Worksheet'!D57*'Finish Input'!C58)*O14)/O4),0)</f>
        <v>0</v>
      </c>
    </row>
    <row r="24" spans="1:9" ht="15">
      <c r="A24" s="12"/>
      <c r="B24" s="214" t="s">
        <v>311</v>
      </c>
      <c r="E24" s="297">
        <f>'Finish-Worksheet'!D143*O14</f>
        <v>0.06951745187613222</v>
      </c>
      <c r="F24" s="88">
        <f>ROUND(E24*'Finish Input'!G38,0)</f>
        <v>8346</v>
      </c>
      <c r="G24" s="109"/>
      <c r="H24" s="17"/>
      <c r="I24" s="22"/>
    </row>
    <row r="25" spans="1:9" ht="15">
      <c r="A25" s="12" t="s">
        <v>77</v>
      </c>
      <c r="E25" s="87">
        <f>SUM(E13:E24)+E10</f>
        <v>2.023111762388587</v>
      </c>
      <c r="F25" s="88">
        <f>SUM(F13:F24)+F10</f>
        <v>242872.79478286055</v>
      </c>
      <c r="G25" s="88"/>
      <c r="H25" s="14"/>
      <c r="I25" s="22"/>
    </row>
    <row r="26" spans="1:11" ht="15">
      <c r="A26" s="12"/>
      <c r="B26" s="214" t="s">
        <v>369</v>
      </c>
      <c r="E26" s="108">
        <f>'Finish-Worksheet'!M159</f>
        <v>0.02650451958699725</v>
      </c>
      <c r="F26" s="109">
        <f>ROUND(E26*'Finish Input'!G38,0)</f>
        <v>3182</v>
      </c>
      <c r="G26" s="109"/>
      <c r="H26" s="17"/>
      <c r="I26" s="22"/>
      <c r="K26" s="136"/>
    </row>
    <row r="27" spans="1:9" ht="15.75">
      <c r="A27" s="9" t="s">
        <v>96</v>
      </c>
      <c r="C27" s="9"/>
      <c r="E27" s="91">
        <f>SUM(E25:E26)</f>
        <v>2.049616281975584</v>
      </c>
      <c r="F27" s="92">
        <f>SUM(F25:F26)</f>
        <v>246054.79478286055</v>
      </c>
      <c r="G27" s="92"/>
      <c r="H27" s="10"/>
      <c r="I27" s="22"/>
    </row>
    <row r="28" spans="1:9" ht="15">
      <c r="A28" s="12"/>
      <c r="B28" s="12"/>
      <c r="C28" s="12"/>
      <c r="E28" s="18"/>
      <c r="F28" s="19"/>
      <c r="G28" s="19"/>
      <c r="H28" s="12"/>
      <c r="I28" s="12"/>
    </row>
    <row r="29" spans="1:9" ht="15.75">
      <c r="A29" s="9" t="s">
        <v>233</v>
      </c>
      <c r="B29" s="9"/>
      <c r="C29" s="9"/>
      <c r="E29" s="18"/>
      <c r="F29" s="19"/>
      <c r="G29" s="19"/>
      <c r="H29" s="12"/>
      <c r="I29" s="12"/>
    </row>
    <row r="30" spans="1:9" ht="15" customHeight="1">
      <c r="A30" s="9" t="s">
        <v>29</v>
      </c>
      <c r="B30" s="9" t="s">
        <v>90</v>
      </c>
      <c r="C30" s="9"/>
      <c r="E30" s="18"/>
      <c r="F30" s="88"/>
      <c r="G30" s="88"/>
      <c r="H30" s="12"/>
      <c r="I30" s="12"/>
    </row>
    <row r="31" spans="1:9" ht="15">
      <c r="A31" s="12"/>
      <c r="B31" s="214" t="s">
        <v>333</v>
      </c>
      <c r="E31" s="87">
        <f>'Finish-Worksheet'!D181*O14</f>
        <v>0.20986400566379537</v>
      </c>
      <c r="F31" s="88">
        <f>ROUND(E31*'Finish Input'!G38,0)</f>
        <v>25194</v>
      </c>
      <c r="G31" s="88"/>
      <c r="H31" s="14"/>
      <c r="I31" s="21"/>
    </row>
    <row r="32" spans="1:9" ht="15">
      <c r="A32" s="12"/>
      <c r="B32" s="12" t="s">
        <v>215</v>
      </c>
      <c r="E32" s="108">
        <f>'Finish-Worksheet'!D188*O14</f>
        <v>0.6019486399012625</v>
      </c>
      <c r="F32" s="109">
        <f>ROUND(E32*'Finish Input'!G38,0)</f>
        <v>72264</v>
      </c>
      <c r="G32" s="109"/>
      <c r="H32" s="17"/>
      <c r="I32" s="22"/>
    </row>
    <row r="33" spans="1:9" ht="15.75">
      <c r="A33" s="9" t="s">
        <v>98</v>
      </c>
      <c r="C33" s="12"/>
      <c r="E33" s="91">
        <f>SUM(E31:E32)</f>
        <v>0.8118126455650578</v>
      </c>
      <c r="F33" s="92">
        <f>SUM(F31:F32)</f>
        <v>97458</v>
      </c>
      <c r="G33" s="92"/>
      <c r="H33" s="14"/>
      <c r="I33" s="22"/>
    </row>
    <row r="34" spans="1:9" ht="15">
      <c r="A34" s="12"/>
      <c r="B34" s="12"/>
      <c r="C34" s="12"/>
      <c r="E34" s="18"/>
      <c r="F34" s="19"/>
      <c r="G34" s="19"/>
      <c r="H34" s="12"/>
      <c r="I34" s="26"/>
    </row>
    <row r="35" spans="1:9" ht="15.75">
      <c r="A35" s="9" t="s">
        <v>34</v>
      </c>
      <c r="B35" s="9" t="s">
        <v>101</v>
      </c>
      <c r="C35" s="9"/>
      <c r="E35" s="87"/>
      <c r="F35" s="19" t="s">
        <v>4</v>
      </c>
      <c r="G35" s="19"/>
      <c r="H35" s="12"/>
      <c r="I35" s="27"/>
    </row>
    <row r="36" spans="1:9" ht="15" customHeight="1">
      <c r="A36" s="9"/>
      <c r="B36" s="12" t="s">
        <v>216</v>
      </c>
      <c r="C36" s="9"/>
      <c r="E36" s="87">
        <f>'Finish-Worksheet'!D201*O14</f>
        <v>0.012928450169700657</v>
      </c>
      <c r="F36" s="88">
        <f>ROUND(E36*'Finish Input'!G38,0)</f>
        <v>1552</v>
      </c>
      <c r="G36" s="88"/>
      <c r="H36" s="12"/>
      <c r="I36" s="21"/>
    </row>
    <row r="37" spans="1:9" ht="15">
      <c r="A37" s="12"/>
      <c r="B37" s="214" t="s">
        <v>335</v>
      </c>
      <c r="E37" s="87">
        <f>'Finish-Worksheet'!D210*O14</f>
        <v>0.08817203015735847</v>
      </c>
      <c r="F37" s="88">
        <f>ROUND(E37*'Finish Input'!G38,0)</f>
        <v>10585</v>
      </c>
      <c r="G37" s="88"/>
      <c r="H37" s="14"/>
      <c r="I37" s="22"/>
    </row>
    <row r="38" spans="1:9" ht="15">
      <c r="A38" s="12"/>
      <c r="B38" s="12" t="s">
        <v>217</v>
      </c>
      <c r="E38" s="108">
        <f>'Finish-Worksheet'!D218*O14</f>
        <v>0.15174121964177661</v>
      </c>
      <c r="F38" s="109">
        <f>ROUND(E38*'Finish Input'!G38,0)</f>
        <v>18216</v>
      </c>
      <c r="G38" s="109"/>
      <c r="H38" s="14"/>
      <c r="I38" s="22"/>
    </row>
    <row r="39" spans="1:9" ht="15.75">
      <c r="A39" s="9" t="s">
        <v>105</v>
      </c>
      <c r="C39" s="12"/>
      <c r="E39" s="95">
        <f>SUM(E36:E38)</f>
        <v>0.25284169996883576</v>
      </c>
      <c r="F39" s="96">
        <f>SUM(F36:F38)</f>
        <v>30353</v>
      </c>
      <c r="G39" s="96"/>
      <c r="H39" s="17"/>
      <c r="I39" s="22"/>
    </row>
    <row r="40" spans="1:9" ht="15.75">
      <c r="A40" s="9" t="s">
        <v>180</v>
      </c>
      <c r="C40" s="9"/>
      <c r="E40" s="91">
        <f>E33+E39</f>
        <v>1.0646543455338935</v>
      </c>
      <c r="F40" s="92">
        <f>F33+F39</f>
        <v>127811</v>
      </c>
      <c r="G40" s="92"/>
      <c r="H40" s="14"/>
      <c r="I40" s="22"/>
    </row>
    <row r="41" spans="1:9" ht="15">
      <c r="A41" s="12"/>
      <c r="B41" s="12"/>
      <c r="C41" s="12"/>
      <c r="E41" s="18"/>
      <c r="F41" s="19"/>
      <c r="G41" s="19"/>
      <c r="H41" s="12"/>
      <c r="I41" s="12"/>
    </row>
    <row r="42" spans="1:9" ht="15.75">
      <c r="A42" s="9" t="s">
        <v>234</v>
      </c>
      <c r="C42" s="12"/>
      <c r="E42" s="18"/>
      <c r="F42" s="19"/>
      <c r="G42" s="19"/>
      <c r="H42" s="12"/>
      <c r="I42" s="12"/>
    </row>
    <row r="43" spans="1:12" ht="15" customHeight="1">
      <c r="A43" s="12"/>
      <c r="B43" s="430" t="s">
        <v>437</v>
      </c>
      <c r="C43" s="12"/>
      <c r="D43" s="12"/>
      <c r="E43" s="87">
        <f>'Finish-Worksheet'!D225*O14</f>
        <v>0.3911443833160344</v>
      </c>
      <c r="F43" s="88">
        <f>ROUND(E43*'Finish Input'!G38,0)</f>
        <v>46957</v>
      </c>
      <c r="G43" s="88"/>
      <c r="H43" s="17"/>
      <c r="I43" s="26"/>
      <c r="K43" s="31"/>
      <c r="L43" s="31"/>
    </row>
    <row r="44" spans="1:9" ht="15">
      <c r="A44" s="12"/>
      <c r="B44" s="13"/>
      <c r="C44" s="12"/>
      <c r="D44" s="12"/>
      <c r="E44" s="28"/>
      <c r="F44" s="29"/>
      <c r="G44" s="29"/>
      <c r="H44" s="17"/>
      <c r="I44" s="21"/>
    </row>
    <row r="45" spans="1:9" ht="15.75">
      <c r="A45" s="140" t="s">
        <v>408</v>
      </c>
      <c r="B45" s="141"/>
      <c r="C45" s="140"/>
      <c r="D45" s="141"/>
      <c r="E45" s="142">
        <f>E27+E40+E43</f>
        <v>3.505415010825512</v>
      </c>
      <c r="F45" s="143">
        <f>F27+F40+SUM(F43:F43)</f>
        <v>420822.79478286055</v>
      </c>
      <c r="G45" s="143"/>
      <c r="H45" s="144"/>
      <c r="I45" s="22"/>
    </row>
    <row r="46" spans="1:9" ht="7.5" customHeight="1">
      <c r="A46" s="140"/>
      <c r="B46" s="141"/>
      <c r="C46" s="140"/>
      <c r="D46" s="141"/>
      <c r="E46" s="142"/>
      <c r="F46" s="143"/>
      <c r="G46" s="143"/>
      <c r="H46" s="144"/>
      <c r="I46" s="27"/>
    </row>
    <row r="47" spans="1:9" ht="15.75" hidden="1">
      <c r="A47" s="140"/>
      <c r="B47" s="141"/>
      <c r="C47" s="140"/>
      <c r="D47" s="141"/>
      <c r="E47" s="142"/>
      <c r="F47" s="143"/>
      <c r="G47" s="143"/>
      <c r="H47" s="144"/>
      <c r="I47" s="27"/>
    </row>
    <row r="48" spans="1:9" ht="15.75" customHeight="1" hidden="1">
      <c r="A48" s="140"/>
      <c r="B48" s="141"/>
      <c r="C48" s="140"/>
      <c r="D48" s="141"/>
      <c r="E48" s="142"/>
      <c r="F48" s="143"/>
      <c r="G48" s="143"/>
      <c r="H48" s="144"/>
      <c r="I48" s="144"/>
    </row>
    <row r="49" spans="1:20" s="331" customFormat="1" ht="15.75" customHeight="1" hidden="1">
      <c r="A49" s="451" t="s">
        <v>245</v>
      </c>
      <c r="B49" s="451"/>
      <c r="C49" s="451"/>
      <c r="D49" s="451"/>
      <c r="E49" s="451"/>
      <c r="F49" s="451"/>
      <c r="G49" s="451"/>
      <c r="H49" s="451"/>
      <c r="I49" s="451"/>
      <c r="S49" s="356"/>
      <c r="T49" s="357"/>
    </row>
    <row r="50" spans="1:20" s="331" customFormat="1" ht="7.5" customHeight="1" hidden="1">
      <c r="A50" s="330"/>
      <c r="B50" s="330"/>
      <c r="C50" s="330"/>
      <c r="E50" s="361"/>
      <c r="F50" s="330"/>
      <c r="G50" s="330"/>
      <c r="H50" s="330"/>
      <c r="I50" s="330"/>
      <c r="S50" s="356"/>
      <c r="T50" s="357"/>
    </row>
    <row r="51" spans="1:20" s="331" customFormat="1" ht="15.75" customHeight="1" hidden="1">
      <c r="A51" s="361" t="s">
        <v>237</v>
      </c>
      <c r="B51" s="345"/>
      <c r="C51" s="362"/>
      <c r="D51" s="362"/>
      <c r="E51" s="332" t="s">
        <v>270</v>
      </c>
      <c r="F51" s="333" t="s">
        <v>108</v>
      </c>
      <c r="G51" s="330"/>
      <c r="H51" s="330"/>
      <c r="I51" s="330"/>
      <c r="S51" s="356"/>
      <c r="T51" s="357"/>
    </row>
    <row r="52" spans="1:20" s="331" customFormat="1" ht="15.75" customHeight="1" hidden="1">
      <c r="A52" s="345"/>
      <c r="B52" s="363" t="s">
        <v>385</v>
      </c>
      <c r="C52" s="362"/>
      <c r="D52" s="362"/>
      <c r="E52" s="334">
        <f>'Finish Input'!F11</f>
        <v>4.95</v>
      </c>
      <c r="G52" s="330"/>
      <c r="H52" s="330"/>
      <c r="I52" s="364"/>
      <c r="S52" s="356"/>
      <c r="T52" s="357"/>
    </row>
    <row r="53" spans="1:20" s="331" customFormat="1" ht="15.75" customHeight="1" hidden="1">
      <c r="A53" s="345"/>
      <c r="B53" s="363" t="s">
        <v>272</v>
      </c>
      <c r="C53" s="362"/>
      <c r="D53" s="362"/>
      <c r="E53" s="335">
        <f>'Finish Input'!J18</f>
        <v>2</v>
      </c>
      <c r="G53" s="330"/>
      <c r="H53" s="330"/>
      <c r="I53" s="364"/>
      <c r="S53" s="356"/>
      <c r="T53" s="357"/>
    </row>
    <row r="54" spans="1:20" s="331" customFormat="1" ht="15.75" customHeight="1" hidden="1">
      <c r="A54" s="345"/>
      <c r="B54" s="363" t="s">
        <v>43</v>
      </c>
      <c r="C54" s="362"/>
      <c r="D54" s="362"/>
      <c r="E54" s="336">
        <f>'Finish Input'!H12</f>
        <v>100</v>
      </c>
      <c r="G54" s="330"/>
      <c r="H54" s="330"/>
      <c r="I54" s="364"/>
      <c r="S54" s="356"/>
      <c r="T54" s="357"/>
    </row>
    <row r="55" spans="1:20" s="331" customFormat="1" ht="15.75" customHeight="1" hidden="1">
      <c r="A55" s="345"/>
      <c r="B55" s="363" t="s">
        <v>273</v>
      </c>
      <c r="C55" s="362"/>
      <c r="D55" s="362"/>
      <c r="E55" s="337">
        <f>'Finish Input'!E12</f>
        <v>0</v>
      </c>
      <c r="G55" s="330"/>
      <c r="H55" s="330"/>
      <c r="I55" s="364"/>
      <c r="S55" s="356"/>
      <c r="T55" s="357"/>
    </row>
    <row r="56" spans="1:20" s="331" customFormat="1" ht="15.75" customHeight="1" hidden="1">
      <c r="A56" s="345"/>
      <c r="B56" s="365" t="s">
        <v>274</v>
      </c>
      <c r="C56" s="362"/>
      <c r="D56" s="362"/>
      <c r="E56" s="338">
        <f>((E52+E55)*(E53*(E54/100))/E53)</f>
        <v>4.95</v>
      </c>
      <c r="F56" s="339">
        <f>ROUND(E56*'Finish Input'!G38,0)</f>
        <v>594245</v>
      </c>
      <c r="G56" s="330"/>
      <c r="H56" s="330"/>
      <c r="I56" s="364"/>
      <c r="S56" s="356"/>
      <c r="T56" s="357"/>
    </row>
    <row r="57" spans="1:20" s="331" customFormat="1" ht="7.5" customHeight="1" hidden="1">
      <c r="A57" s="345"/>
      <c r="B57" s="366"/>
      <c r="C57" s="362"/>
      <c r="D57" s="362"/>
      <c r="E57" s="338"/>
      <c r="G57" s="330"/>
      <c r="H57" s="330"/>
      <c r="I57" s="330"/>
      <c r="S57" s="356"/>
      <c r="T57" s="357"/>
    </row>
    <row r="58" spans="1:20" s="331" customFormat="1" ht="15.75" customHeight="1" hidden="1">
      <c r="A58" s="367" t="s">
        <v>238</v>
      </c>
      <c r="B58" s="368"/>
      <c r="C58" s="362"/>
      <c r="D58" s="362"/>
      <c r="E58" s="338"/>
      <c r="G58" s="330"/>
      <c r="H58" s="330"/>
      <c r="I58" s="330"/>
      <c r="S58" s="356"/>
      <c r="T58" s="357"/>
    </row>
    <row r="59" spans="1:20" s="331" customFormat="1" ht="15.75" customHeight="1" hidden="1">
      <c r="A59" s="345"/>
      <c r="B59" s="366" t="s">
        <v>239</v>
      </c>
      <c r="C59" s="362"/>
      <c r="D59" s="362"/>
      <c r="E59" s="340">
        <f>SUM(E56-E27)</f>
        <v>2.900383718024416</v>
      </c>
      <c r="F59" s="341">
        <f>ROUND(E59*'Finish Input'!G38,0)</f>
        <v>348190</v>
      </c>
      <c r="G59" s="330"/>
      <c r="H59" s="330"/>
      <c r="I59" s="364"/>
      <c r="S59" s="356"/>
      <c r="T59" s="357"/>
    </row>
    <row r="60" spans="1:20" s="331" customFormat="1" ht="15.75" customHeight="1" hidden="1">
      <c r="A60" s="345"/>
      <c r="B60" s="366" t="s">
        <v>240</v>
      </c>
      <c r="C60" s="362"/>
      <c r="D60" s="362"/>
      <c r="E60" s="340">
        <f>SUM(E56-E27-E43)</f>
        <v>2.509239334708382</v>
      </c>
      <c r="F60" s="341">
        <f>ROUND(E60*'Finish Input'!G38,0)</f>
        <v>301233</v>
      </c>
      <c r="G60" s="330"/>
      <c r="H60" s="330"/>
      <c r="I60" s="364"/>
      <c r="S60" s="356"/>
      <c r="T60" s="357"/>
    </row>
    <row r="61" spans="1:20" s="331" customFormat="1" ht="15.75" customHeight="1" hidden="1">
      <c r="A61" s="345"/>
      <c r="B61" s="368" t="s">
        <v>241</v>
      </c>
      <c r="C61" s="362"/>
      <c r="D61" s="362"/>
      <c r="E61" s="342">
        <f>SUM(E56-E45)</f>
        <v>1.444584989174488</v>
      </c>
      <c r="F61" s="343">
        <f>ROUND(E61*'Finish Input'!G38,0)</f>
        <v>173422</v>
      </c>
      <c r="G61" s="330"/>
      <c r="H61" s="330"/>
      <c r="I61" s="364"/>
      <c r="S61" s="356"/>
      <c r="T61" s="357"/>
    </row>
    <row r="62" spans="1:20" s="331" customFormat="1" ht="7.5" customHeight="1" hidden="1">
      <c r="A62" s="345"/>
      <c r="B62" s="366"/>
      <c r="C62" s="362"/>
      <c r="D62" s="362"/>
      <c r="E62" s="342"/>
      <c r="F62" s="343"/>
      <c r="G62" s="330"/>
      <c r="H62" s="330"/>
      <c r="I62" s="364"/>
      <c r="S62" s="356"/>
      <c r="T62" s="357"/>
    </row>
    <row r="63" spans="1:20" s="331" customFormat="1" ht="15.75" customHeight="1" hidden="1">
      <c r="A63" s="368" t="s">
        <v>242</v>
      </c>
      <c r="C63" s="362"/>
      <c r="D63" s="362"/>
      <c r="E63" s="344">
        <f>SUM(E27/E56)</f>
        <v>0.41406389534860283</v>
      </c>
      <c r="G63" s="329"/>
      <c r="H63" s="330"/>
      <c r="I63" s="364"/>
      <c r="S63" s="356"/>
      <c r="T63" s="357"/>
    </row>
    <row r="64" spans="1:20" s="331" customFormat="1" ht="7.5" customHeight="1" hidden="1">
      <c r="A64" s="345"/>
      <c r="B64" s="362"/>
      <c r="C64" s="362"/>
      <c r="D64" s="362"/>
      <c r="E64" s="345"/>
      <c r="G64" s="346"/>
      <c r="H64" s="330"/>
      <c r="I64" s="369"/>
      <c r="S64" s="356"/>
      <c r="T64" s="357"/>
    </row>
    <row r="65" spans="1:20" s="331" customFormat="1" ht="15.75" customHeight="1" hidden="1">
      <c r="A65" s="367" t="s">
        <v>246</v>
      </c>
      <c r="B65" s="362"/>
      <c r="C65" s="362"/>
      <c r="D65" s="362"/>
      <c r="E65" s="329" t="s">
        <v>271</v>
      </c>
      <c r="F65" s="333" t="s">
        <v>108</v>
      </c>
      <c r="G65" s="346"/>
      <c r="H65" s="330"/>
      <c r="I65" s="369"/>
      <c r="S65" s="356"/>
      <c r="T65" s="357"/>
    </row>
    <row r="66" spans="1:20" s="331" customFormat="1" ht="15.75" customHeight="1" hidden="1">
      <c r="A66" s="345"/>
      <c r="B66" s="366" t="s">
        <v>243</v>
      </c>
      <c r="C66" s="366"/>
      <c r="D66" s="366"/>
      <c r="E66" s="346">
        <f>E27/((E53*(E54/100))/E53)</f>
        <v>2.049616281975584</v>
      </c>
      <c r="F66" s="341">
        <f>ROUND(E66*'Finish Input'!G38,0)</f>
        <v>246056</v>
      </c>
      <c r="G66" s="346"/>
      <c r="H66" s="330"/>
      <c r="I66" s="364"/>
      <c r="S66" s="356"/>
      <c r="T66" s="357"/>
    </row>
    <row r="67" spans="1:20" s="331" customFormat="1" ht="15.75" customHeight="1" hidden="1">
      <c r="A67" s="345"/>
      <c r="B67" s="366" t="s">
        <v>244</v>
      </c>
      <c r="C67" s="366"/>
      <c r="D67" s="366"/>
      <c r="E67" s="346">
        <f>(E27+E43)/((E53*(E54/100))/E53)</f>
        <v>2.4407606652916183</v>
      </c>
      <c r="F67" s="341">
        <f>ROUND(E67*'Finish Input'!G38,0)</f>
        <v>293012</v>
      </c>
      <c r="G67" s="370"/>
      <c r="H67" s="370"/>
      <c r="I67" s="364"/>
      <c r="S67" s="356"/>
      <c r="T67" s="357"/>
    </row>
    <row r="68" spans="1:20" s="331" customFormat="1" ht="15.75" customHeight="1" hidden="1">
      <c r="A68" s="345"/>
      <c r="B68" s="368" t="s">
        <v>254</v>
      </c>
      <c r="C68" s="366"/>
      <c r="D68" s="366"/>
      <c r="E68" s="347">
        <f>E45/((E53*(E54/100))/E53)</f>
        <v>3.505415010825512</v>
      </c>
      <c r="F68" s="341">
        <f>ROUND(E68*'Finish Input'!G38,0)</f>
        <v>420824</v>
      </c>
      <c r="G68" s="371"/>
      <c r="H68" s="371"/>
      <c r="I68" s="364"/>
      <c r="J68" s="372"/>
      <c r="K68" s="372"/>
      <c r="S68" s="356"/>
      <c r="T68" s="357"/>
    </row>
    <row r="69" spans="1:20" s="331" customFormat="1" ht="7.5" customHeight="1" hidden="1">
      <c r="A69" s="330"/>
      <c r="B69" s="330"/>
      <c r="C69" s="330"/>
      <c r="D69" s="330"/>
      <c r="E69" s="330"/>
      <c r="F69" s="330"/>
      <c r="G69" s="330"/>
      <c r="H69" s="330"/>
      <c r="I69" s="330"/>
      <c r="S69" s="356"/>
      <c r="T69" s="357"/>
    </row>
    <row r="70" spans="1:20" s="331" customFormat="1" ht="15.75" hidden="1">
      <c r="A70" s="373" t="s">
        <v>190</v>
      </c>
      <c r="E70" s="348"/>
      <c r="F70" s="374">
        <f>((F61+F26+F39)-F43)/('Finish Input'!H66+'Finish Input'!H73+'Finish Input'!H76+'Finish Input'!H81+('Finish Input'!F16*'Finish Input'!F10))</f>
        <v>0.09216919037431061</v>
      </c>
      <c r="I70" s="364"/>
      <c r="S70" s="356"/>
      <c r="T70" s="357"/>
    </row>
    <row r="71" spans="1:20" s="331" customFormat="1" ht="15.75" hidden="1">
      <c r="A71" s="373" t="s">
        <v>371</v>
      </c>
      <c r="E71" s="348"/>
      <c r="F71" s="374">
        <f>(F56-F45)/F45</f>
        <v>0.4121026887496035</v>
      </c>
      <c r="I71" s="364"/>
      <c r="S71" s="356"/>
      <c r="T71" s="357"/>
    </row>
    <row r="72" ht="7.5" customHeight="1"/>
    <row r="73" spans="1:10" ht="15" customHeight="1">
      <c r="A73" s="450" t="s">
        <v>259</v>
      </c>
      <c r="B73" s="450"/>
      <c r="C73" s="450"/>
      <c r="D73" s="450"/>
      <c r="E73" s="450"/>
      <c r="F73" s="450"/>
      <c r="G73" s="450"/>
      <c r="H73" s="450"/>
      <c r="I73" s="450"/>
      <c r="J73" s="450"/>
    </row>
    <row r="74" spans="1:10" ht="15">
      <c r="A74" s="450"/>
      <c r="B74" s="450"/>
      <c r="C74" s="450"/>
      <c r="D74" s="450"/>
      <c r="E74" s="450"/>
      <c r="F74" s="450"/>
      <c r="G74" s="450"/>
      <c r="H74" s="450"/>
      <c r="I74" s="450"/>
      <c r="J74" s="450"/>
    </row>
    <row r="75" spans="1:10" ht="15">
      <c r="A75" s="450"/>
      <c r="B75" s="450"/>
      <c r="C75" s="450"/>
      <c r="D75" s="450"/>
      <c r="E75" s="450"/>
      <c r="F75" s="450"/>
      <c r="G75" s="450"/>
      <c r="H75" s="450"/>
      <c r="I75" s="450"/>
      <c r="J75" s="450"/>
    </row>
  </sheetData>
  <sheetProtection password="C6A6" sheet="1"/>
  <mergeCells count="4">
    <mergeCell ref="A1:J1"/>
    <mergeCell ref="A2:J2"/>
    <mergeCell ref="A49:I49"/>
    <mergeCell ref="A73:J75"/>
  </mergeCells>
  <printOptions/>
  <pageMargins left="1.141732283464567" right="0.7874015748031497" top="0.984251968503937" bottom="0.984251968503937" header="0.5118110236220472" footer="0.5118110236220472"/>
  <pageSetup firstPageNumber="4" useFirstPageNumber="1" fitToHeight="1" fitToWidth="1" horizontalDpi="600" verticalDpi="600" orientation="portrait" scale="89" r:id="rId1"/>
  <headerFooter alignWithMargins="0">
    <oddHeader>&amp;L&amp;9Guidelines: Aquaculture Production Costs
&amp;R&amp;10&amp;P</oddHeader>
    <oddFooter>&amp;RManitoba Agriculture, Farm Management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8"/>
  <sheetViews>
    <sheetView zoomScale="90" zoomScaleNormal="90" workbookViewId="0" topLeftCell="A1">
      <selection activeCell="B17" sqref="B17"/>
    </sheetView>
  </sheetViews>
  <sheetFormatPr defaultColWidth="8.88671875" defaultRowHeight="15"/>
  <cols>
    <col min="1" max="1" width="1.66796875" style="175" customWidth="1"/>
    <col min="2" max="2" width="28.5546875" style="175" customWidth="1"/>
    <col min="3" max="7" width="10.77734375" style="175" customWidth="1"/>
    <col min="8" max="10" width="7.99609375" style="175" customWidth="1"/>
  </cols>
  <sheetData>
    <row r="1" spans="1:11" ht="18">
      <c r="A1" s="454" t="s">
        <v>275</v>
      </c>
      <c r="B1" s="454"/>
      <c r="C1" s="454"/>
      <c r="D1" s="454"/>
      <c r="E1" s="454"/>
      <c r="F1" s="454"/>
      <c r="G1" s="454"/>
      <c r="H1" s="186"/>
      <c r="I1" s="186"/>
      <c r="J1" s="186"/>
      <c r="K1" s="186"/>
    </row>
    <row r="2" spans="1:10" ht="15.75" hidden="1">
      <c r="A2" s="174" t="s">
        <v>183</v>
      </c>
      <c r="C2" s="176"/>
      <c r="D2" s="176"/>
      <c r="E2" s="176"/>
      <c r="F2" s="176"/>
      <c r="G2" s="176"/>
      <c r="H2" s="176"/>
      <c r="I2" s="176"/>
      <c r="J2" s="176"/>
    </row>
    <row r="3" spans="1:10" ht="15.75" hidden="1">
      <c r="A3" s="174"/>
      <c r="B3" s="187" t="s">
        <v>256</v>
      </c>
      <c r="C3" s="176">
        <f>'Steady State Summary'!E10</f>
        <v>2.079035762803672</v>
      </c>
      <c r="D3" s="176" t="e">
        <f>'Steady State Summary'!#REF!</f>
        <v>#REF!</v>
      </c>
      <c r="E3" s="176"/>
      <c r="F3" s="176"/>
      <c r="G3" s="176"/>
      <c r="H3" s="176"/>
      <c r="I3" s="176"/>
      <c r="J3" s="176"/>
    </row>
    <row r="4" spans="1:10" ht="15.75" hidden="1">
      <c r="A4" s="174"/>
      <c r="B4" s="187" t="s">
        <v>255</v>
      </c>
      <c r="C4" s="176">
        <f>'Steady State Summary'!E13</f>
        <v>0.21355196741151816</v>
      </c>
      <c r="D4" s="176" t="e">
        <f>'Steady State Summary'!#REF!</f>
        <v>#REF!</v>
      </c>
      <c r="E4" s="176"/>
      <c r="F4" s="176"/>
      <c r="G4" s="176"/>
      <c r="H4" s="176"/>
      <c r="I4" s="176"/>
      <c r="J4" s="176"/>
    </row>
    <row r="5" spans="1:10" ht="15.75" hidden="1">
      <c r="A5" s="174"/>
      <c r="B5" s="187" t="s">
        <v>88</v>
      </c>
      <c r="C5" s="188">
        <f>SUM('Steady State Summary'!E28-'Steady State Summary'!E13-'Steady State Summary'!E10)</f>
        <v>1.0285731503126776</v>
      </c>
      <c r="D5" s="188" t="e">
        <f>SUM('Steady State Summary'!#REF!-'Steady State Summary'!#REF!-'Steady State Summary'!#REF!)</f>
        <v>#REF!</v>
      </c>
      <c r="E5" s="176"/>
      <c r="F5" s="176"/>
      <c r="G5" s="176"/>
      <c r="H5" s="176"/>
      <c r="I5" s="176"/>
      <c r="J5" s="176"/>
    </row>
    <row r="6" spans="1:10" ht="15.75" hidden="1">
      <c r="A6" s="174"/>
      <c r="B6" s="183" t="s">
        <v>257</v>
      </c>
      <c r="C6" s="176">
        <f>SUM(C3:C5)</f>
        <v>3.321160880527868</v>
      </c>
      <c r="D6" s="176" t="e">
        <f>SUM(D3:D5)</f>
        <v>#REF!</v>
      </c>
      <c r="E6" s="176"/>
      <c r="F6" s="176"/>
      <c r="G6" s="176"/>
      <c r="H6" s="176"/>
      <c r="I6" s="176"/>
      <c r="J6" s="176"/>
    </row>
    <row r="7" spans="1:10" ht="15.75" hidden="1">
      <c r="A7" s="177" t="s">
        <v>182</v>
      </c>
      <c r="C7" s="176">
        <f>'Steady State Summary'!E41</f>
        <v>0.9432010585433767</v>
      </c>
      <c r="D7" s="176" t="e">
        <f>'Steady State Summary'!#REF!</f>
        <v>#REF!</v>
      </c>
      <c r="E7" s="176"/>
      <c r="F7" s="176"/>
      <c r="G7" s="176"/>
      <c r="H7" s="176"/>
      <c r="I7" s="176"/>
      <c r="J7" s="176"/>
    </row>
    <row r="8" spans="1:10" ht="15.75" hidden="1">
      <c r="A8" s="177" t="s">
        <v>234</v>
      </c>
      <c r="C8" s="189">
        <f>'Steady State Summary'!E44</f>
        <v>0.3465235434717295</v>
      </c>
      <c r="D8" s="189" t="e">
        <f>'Steady State Summary'!#REF!</f>
        <v>#REF!</v>
      </c>
      <c r="E8" s="176"/>
      <c r="F8" s="176"/>
      <c r="G8" s="176"/>
      <c r="H8" s="176"/>
      <c r="I8" s="176"/>
      <c r="J8" s="176"/>
    </row>
    <row r="9" spans="1:10" ht="15.75" hidden="1">
      <c r="A9" s="177" t="s">
        <v>254</v>
      </c>
      <c r="C9" s="176">
        <f>SUM(C6:C8)</f>
        <v>4.610885482542974</v>
      </c>
      <c r="D9" s="176" t="e">
        <f>SUM(D6:D8)</f>
        <v>#REF!</v>
      </c>
      <c r="E9" s="176"/>
      <c r="F9" s="176"/>
      <c r="G9" s="176"/>
      <c r="H9" s="176"/>
      <c r="I9" s="176"/>
      <c r="J9" s="176"/>
    </row>
    <row r="10" spans="1:10" ht="15.75" hidden="1">
      <c r="A10" s="177"/>
      <c r="C10" s="176"/>
      <c r="D10" s="176"/>
      <c r="E10" s="176"/>
      <c r="F10" s="176"/>
      <c r="G10" s="176"/>
      <c r="H10" s="176"/>
      <c r="I10" s="176"/>
      <c r="J10" s="176"/>
    </row>
    <row r="11" spans="1:10" ht="18" hidden="1">
      <c r="A11" s="146" t="s">
        <v>237</v>
      </c>
      <c r="B11" s="147"/>
      <c r="C11" s="178"/>
      <c r="D11" s="173"/>
      <c r="E11" s="173"/>
      <c r="F11" s="173"/>
      <c r="G11" s="173"/>
      <c r="H11" s="173"/>
      <c r="I11" s="178"/>
      <c r="J11" s="173"/>
    </row>
    <row r="12" spans="1:10" ht="18" hidden="1">
      <c r="A12" s="147"/>
      <c r="B12" s="156" t="s">
        <v>263</v>
      </c>
      <c r="C12" s="185">
        <f>'Finish Input'!F11</f>
        <v>4.95</v>
      </c>
      <c r="D12" s="185">
        <f>'Finish Input'!F11</f>
        <v>4.95</v>
      </c>
      <c r="E12" s="179"/>
      <c r="F12" s="179"/>
      <c r="G12" s="179"/>
      <c r="H12" s="179"/>
      <c r="I12" s="179"/>
      <c r="J12" s="179"/>
    </row>
    <row r="13" spans="1:10" ht="7.5" customHeight="1">
      <c r="A13" s="147"/>
      <c r="B13" s="148"/>
      <c r="C13" s="185"/>
      <c r="D13" s="185"/>
      <c r="E13" s="179"/>
      <c r="F13" s="179"/>
      <c r="G13" s="179"/>
      <c r="H13" s="179"/>
      <c r="I13" s="179"/>
      <c r="J13" s="179"/>
    </row>
    <row r="14" spans="1:10" ht="7.5" customHeight="1">
      <c r="A14" s="199"/>
      <c r="B14" s="199"/>
      <c r="C14" s="200"/>
      <c r="D14" s="200"/>
      <c r="E14" s="200"/>
      <c r="F14" s="200"/>
      <c r="G14" s="200"/>
      <c r="H14" s="181"/>
      <c r="I14" s="181"/>
      <c r="J14" s="181"/>
    </row>
    <row r="15" spans="1:10" ht="18">
      <c r="A15" s="455" t="s">
        <v>276</v>
      </c>
      <c r="B15" s="455"/>
      <c r="C15" s="455"/>
      <c r="D15" s="455"/>
      <c r="E15" s="455"/>
      <c r="F15" s="455"/>
      <c r="G15" s="455"/>
      <c r="H15" s="178"/>
      <c r="I15" s="184"/>
      <c r="J15" s="184"/>
    </row>
    <row r="16" spans="1:10" ht="7.5" customHeight="1">
      <c r="A16" s="180"/>
      <c r="B16" s="180"/>
      <c r="C16" s="181"/>
      <c r="D16" s="181"/>
      <c r="E16" s="181"/>
      <c r="F16" s="181"/>
      <c r="G16" s="181"/>
      <c r="H16" s="181"/>
      <c r="I16" s="181"/>
      <c r="J16" s="181"/>
    </row>
    <row r="17" ht="15">
      <c r="A17" s="182"/>
    </row>
    <row r="18" ht="15">
      <c r="A18" s="182"/>
    </row>
    <row r="19" spans="1:10" ht="7.5" customHeight="1">
      <c r="A19" s="199"/>
      <c r="B19" s="199"/>
      <c r="C19" s="200"/>
      <c r="D19" s="200"/>
      <c r="E19" s="200"/>
      <c r="F19" s="200"/>
      <c r="G19" s="200"/>
      <c r="H19" s="181"/>
      <c r="I19" s="181"/>
      <c r="J19" s="181"/>
    </row>
    <row r="20" spans="1:10" ht="18">
      <c r="A20" s="455" t="s">
        <v>277</v>
      </c>
      <c r="B20" s="455"/>
      <c r="C20" s="455"/>
      <c r="D20" s="455"/>
      <c r="E20" s="455"/>
      <c r="F20" s="455"/>
      <c r="G20" s="455"/>
      <c r="H20" s="178"/>
      <c r="I20" s="184"/>
      <c r="J20" s="184"/>
    </row>
    <row r="21" ht="15">
      <c r="A21" s="182"/>
    </row>
    <row r="22" ht="15">
      <c r="A22" s="182"/>
    </row>
    <row r="23" ht="15">
      <c r="A23" s="182"/>
    </row>
    <row r="24" ht="15">
      <c r="A24" s="182"/>
    </row>
    <row r="25" ht="7.5" customHeight="1">
      <c r="A25" s="211"/>
    </row>
    <row r="26" spans="1:10" ht="15" customHeight="1">
      <c r="A26" s="452" t="s">
        <v>260</v>
      </c>
      <c r="B26" s="453"/>
      <c r="C26" s="453"/>
      <c r="D26" s="453"/>
      <c r="E26" s="453"/>
      <c r="F26" s="453"/>
      <c r="G26" s="453"/>
      <c r="H26" s="172"/>
      <c r="I26" s="172"/>
      <c r="J26" s="172"/>
    </row>
    <row r="27" spans="1:10" ht="15">
      <c r="A27" s="453"/>
      <c r="B27" s="453"/>
      <c r="C27" s="453"/>
      <c r="D27" s="453"/>
      <c r="E27" s="453"/>
      <c r="F27" s="453"/>
      <c r="G27" s="453"/>
      <c r="H27" s="172"/>
      <c r="I27" s="172"/>
      <c r="J27" s="172"/>
    </row>
    <row r="28" spans="1:10" ht="15.75">
      <c r="A28" s="453"/>
      <c r="B28" s="453"/>
      <c r="C28" s="453"/>
      <c r="D28" s="453"/>
      <c r="E28" s="453"/>
      <c r="F28" s="453"/>
      <c r="G28" s="453"/>
      <c r="H28" s="183"/>
      <c r="I28" s="183"/>
      <c r="J28" s="183"/>
    </row>
    <row r="29" ht="15">
      <c r="A29" s="182"/>
    </row>
    <row r="30" ht="15">
      <c r="A30" s="182"/>
    </row>
    <row r="31" ht="15">
      <c r="A31" s="182"/>
    </row>
    <row r="32" ht="15">
      <c r="A32" s="182"/>
    </row>
    <row r="33" ht="15">
      <c r="A33" s="182"/>
    </row>
    <row r="34" ht="15">
      <c r="A34" s="182"/>
    </row>
    <row r="35" ht="15">
      <c r="A35" s="182"/>
    </row>
    <row r="36" ht="15">
      <c r="A36" s="182"/>
    </row>
    <row r="37" ht="15">
      <c r="A37" s="182"/>
    </row>
    <row r="38" ht="15">
      <c r="A38" s="182"/>
    </row>
  </sheetData>
  <sheetProtection/>
  <mergeCells count="4">
    <mergeCell ref="A26:G28"/>
    <mergeCell ref="A1:G1"/>
    <mergeCell ref="A15:G15"/>
    <mergeCell ref="A20:G20"/>
  </mergeCells>
  <printOptions/>
  <pageMargins left="0.7086614173228347" right="0.7086614173228347" top="0.7480314960629921" bottom="0.7480314960629921" header="0.31496062992125984" footer="0.31496062992125984"/>
  <pageSetup firstPageNumber="4" useFirstPageNumber="1" fitToHeight="1" fitToWidth="1" horizontalDpi="600" verticalDpi="600" orientation="portrait" scale="89" r:id="rId1"/>
  <headerFooter>
    <oddHeader>&amp;L&amp;9Guidelines: Swine (26 to 121 kg) Finishing Costs&amp;R&amp;10&amp;P</oddHeader>
    <oddFooter>&amp;R&amp;9Manitoba Agriculture</oddFooter>
  </headerFooter>
</worksheet>
</file>

<file path=xl/worksheets/sheet6.xml><?xml version="1.0" encoding="utf-8"?>
<worksheet xmlns="http://schemas.openxmlformats.org/spreadsheetml/2006/main" xmlns:r="http://schemas.openxmlformats.org/officeDocument/2006/relationships">
  <sheetPr codeName="Sheet3">
    <pageSetUpPr fitToPage="1"/>
  </sheetPr>
  <dimension ref="A1:AK697"/>
  <sheetViews>
    <sheetView workbookViewId="0" topLeftCell="A1">
      <selection activeCell="F10" sqref="F10"/>
    </sheetView>
  </sheetViews>
  <sheetFormatPr defaultColWidth="8.88671875" defaultRowHeight="15"/>
  <cols>
    <col min="1" max="1" width="2.88671875" style="50" customWidth="1"/>
    <col min="2" max="2" width="2.77734375" style="50" customWidth="1"/>
    <col min="3" max="3" width="10.5546875" style="50" customWidth="1"/>
    <col min="4" max="4" width="5.21484375" style="50" customWidth="1"/>
    <col min="5" max="5" width="8.99609375" style="50" customWidth="1"/>
    <col min="6" max="7" width="9.4453125" style="50" customWidth="1"/>
    <col min="8" max="8" width="13.4453125" style="50" customWidth="1"/>
    <col min="9" max="9" width="9.10546875" style="50" customWidth="1"/>
    <col min="10" max="10" width="9.3359375" style="50" customWidth="1"/>
    <col min="11" max="11" width="8.21484375" style="50" customWidth="1"/>
    <col min="12" max="12" width="0.88671875" style="50" customWidth="1"/>
    <col min="13" max="14" width="8.88671875" style="50" customWidth="1"/>
    <col min="15" max="15" width="8.88671875" style="227" hidden="1" customWidth="1"/>
    <col min="16" max="16" width="12.21484375" style="312" hidden="1" customWidth="1"/>
    <col min="17" max="17" width="14.77734375" style="247" hidden="1" customWidth="1"/>
    <col min="18" max="18" width="14.99609375" style="299" hidden="1" customWidth="1"/>
    <col min="19" max="19" width="14.99609375" style="250" hidden="1" customWidth="1"/>
    <col min="20" max="20" width="8.88671875" style="50" hidden="1" customWidth="1"/>
    <col min="21" max="21" width="11.4453125" style="50" hidden="1" customWidth="1"/>
    <col min="22" max="26" width="8.88671875" style="50" hidden="1" customWidth="1"/>
    <col min="27" max="31" width="8.88671875" style="317" hidden="1" customWidth="1"/>
    <col min="32" max="32" width="8.88671875" style="50" hidden="1" customWidth="1"/>
    <col min="33" max="37" width="8.88671875" style="317" hidden="1" customWidth="1"/>
    <col min="38" max="38" width="8.88671875" style="50" customWidth="1"/>
    <col min="39" max="16384" width="8.88671875" style="50" customWidth="1"/>
  </cols>
  <sheetData>
    <row r="1" spans="16:37" ht="16.5" thickBot="1">
      <c r="P1" s="311" t="s">
        <v>381</v>
      </c>
      <c r="Q1" s="307" t="s">
        <v>380</v>
      </c>
      <c r="R1" s="308" t="s">
        <v>379</v>
      </c>
      <c r="S1" s="309" t="s">
        <v>378</v>
      </c>
      <c r="AA1" s="315">
        <f>ROUND(AVERAGE(AA2:AA697)*100,3)</f>
        <v>2.167</v>
      </c>
      <c r="AB1" s="315">
        <f>ROUND(AVERAGE(AB2:AB697)*100,3)</f>
        <v>1.438</v>
      </c>
      <c r="AC1" s="315">
        <f>ROUND(AVERAGE(AC2:AC697)*100,3)</f>
        <v>1.142</v>
      </c>
      <c r="AD1" s="315">
        <f>ROUND(AVERAGE(AD2:AD697)*100,3)</f>
        <v>0.9</v>
      </c>
      <c r="AE1" s="315">
        <f>ROUND(AVERAGE(AE2:AE697)*100,3)</f>
        <v>0.742</v>
      </c>
      <c r="AG1" s="315">
        <f>ROUND(AVERAGE(AG2:AG697),3)</f>
        <v>0.888</v>
      </c>
      <c r="AH1" s="315">
        <f>ROUND(AVERAGE(AH2:AH697),3)</f>
        <v>0.924</v>
      </c>
      <c r="AI1" s="315">
        <f>ROUND(AVERAGE(AI2:AI697),3)</f>
        <v>0.984</v>
      </c>
      <c r="AJ1" s="315">
        <f>ROUND(AVERAGE(AJ2:AJ697),3)</f>
        <v>1.062</v>
      </c>
      <c r="AK1" s="315">
        <f>ROUND(AVERAGE(AK2:AK697),3)</f>
        <v>1.2</v>
      </c>
    </row>
    <row r="2" spans="1:37" ht="21.75" customHeight="1" thickBot="1">
      <c r="A2" s="456" t="str">
        <f>"Aquaculture ("&amp;I10*1000&amp;"g to "&amp;J18&amp;"kg) Grow-out Cost of Production Assumptions"</f>
        <v>Aquaculture (20g to 2kg) Grow-out Cost of Production Assumptions</v>
      </c>
      <c r="B2" s="456"/>
      <c r="C2" s="456"/>
      <c r="D2" s="456"/>
      <c r="E2" s="456"/>
      <c r="F2" s="456"/>
      <c r="G2" s="456"/>
      <c r="H2" s="456"/>
      <c r="I2" s="456"/>
      <c r="J2" s="456"/>
      <c r="K2" s="456"/>
      <c r="L2" s="456"/>
      <c r="P2" s="312">
        <v>0.001</v>
      </c>
      <c r="Q2" s="247">
        <v>1</v>
      </c>
      <c r="R2" s="299">
        <v>0.029</v>
      </c>
      <c r="S2" s="250">
        <v>1.2</v>
      </c>
      <c r="U2" s="228" t="s">
        <v>282</v>
      </c>
      <c r="V2" s="228" t="s">
        <v>283</v>
      </c>
      <c r="W2" s="228" t="s">
        <v>284</v>
      </c>
      <c r="X2" s="228" t="s">
        <v>285</v>
      </c>
      <c r="Y2" s="228" t="s">
        <v>343</v>
      </c>
      <c r="AA2" s="316">
        <f aca="true" t="shared" si="0" ref="AA2:AA33">IF(P2&gt;=$F$17,IF(P2&lt;$F$18,R2,""),"")</f>
      </c>
      <c r="AB2" s="316">
        <f aca="true" t="shared" si="1" ref="AB2:AB33">IF(P2&gt;=$G$17,IF(P2&lt;$G$18,R2,""),"")</f>
      </c>
      <c r="AC2" s="316">
        <f aca="true" t="shared" si="2" ref="AC2:AC33">IF(P2&gt;=$H$17,IF(P2&lt;$H$18,R2,""),"")</f>
      </c>
      <c r="AD2" s="316">
        <f aca="true" t="shared" si="3" ref="AD2:AD33">IF(P2&gt;=$I$17,IF(P2&lt;$I$18,R2,""),"")</f>
      </c>
      <c r="AE2" s="316">
        <f aca="true" t="shared" si="4" ref="AE2:AE33">IF(P2&gt;=$J$17,IF(P2&lt;$J$18,R2,""),"")</f>
      </c>
      <c r="AG2" s="316">
        <f aca="true" t="shared" si="5" ref="AG2:AG33">IF(P2&gt;=$F$17,IF(P2&lt;$F$18,S2,""),"")</f>
      </c>
      <c r="AH2" s="316">
        <f aca="true" t="shared" si="6" ref="AH2:AH33">IF(P2&gt;=$G$17,IF(P2&lt;$G$18,S2,""),"")</f>
      </c>
      <c r="AI2" s="316">
        <f aca="true" t="shared" si="7" ref="AI2:AI33">IF(P2&gt;=$H$17,IF(P2&lt;$H$18,S2,""),"")</f>
      </c>
      <c r="AJ2" s="316">
        <f aca="true" t="shared" si="8" ref="AJ2:AJ33">IF(P2&gt;=$I$17,IF(P2&lt;$I$18,S2,""),"")</f>
      </c>
      <c r="AK2" s="316">
        <f aca="true" t="shared" si="9" ref="AK2:AK33">IF(P2&gt;=$J$17,IF(P2&lt;$J$18,S2,""),"")</f>
      </c>
    </row>
    <row r="3" spans="16:37" ht="16.5" thickBot="1">
      <c r="P3" s="312">
        <f aca="true" t="shared" si="10" ref="P3:P66">P2+(P2*R2/S2)</f>
        <v>0.0010241666666666667</v>
      </c>
      <c r="Q3" s="247">
        <v>2</v>
      </c>
      <c r="R3" s="299">
        <v>0.029</v>
      </c>
      <c r="S3" s="250">
        <v>1.2</v>
      </c>
      <c r="T3" s="313" t="s">
        <v>384</v>
      </c>
      <c r="U3" s="318">
        <f>SUM(VLOOKUP(F18,P2:S697,2,TRUE)-VLOOKUP(F17,P2:S697,2,TRUE))</f>
        <v>38</v>
      </c>
      <c r="V3" s="319">
        <f>SUM(VLOOKUP(G18,P2:S697,2,TRUE)-VLOOKUP(G17,P2:S697,2,TRUE))</f>
        <v>90</v>
      </c>
      <c r="W3" s="319">
        <f>SUM(VLOOKUP(H18,P2:S697,2,TRUE)-VLOOKUP(H17,P2:S697,2,TRUE))</f>
        <v>79</v>
      </c>
      <c r="X3" s="319">
        <f>SUM(VLOOKUP(I18,P2:S697,2,TRUE)-VLOOKUP(I17,P2:S697,2,TRUE))</f>
        <v>82</v>
      </c>
      <c r="Y3" s="320">
        <f>SUM(VLOOKUP(J18,P2:S697,2,TRUE)-VLOOKUP(J17,P2:S697,2,TRUE))</f>
        <v>113</v>
      </c>
      <c r="Z3" s="310">
        <f>SUM(U3:Y3)</f>
        <v>402</v>
      </c>
      <c r="AA3" s="316">
        <f t="shared" si="0"/>
      </c>
      <c r="AB3" s="316">
        <f t="shared" si="1"/>
      </c>
      <c r="AC3" s="316">
        <f t="shared" si="2"/>
      </c>
      <c r="AD3" s="316">
        <f t="shared" si="3"/>
      </c>
      <c r="AE3" s="316">
        <f t="shared" si="4"/>
      </c>
      <c r="AG3" s="316">
        <f t="shared" si="5"/>
      </c>
      <c r="AH3" s="316">
        <f t="shared" si="6"/>
      </c>
      <c r="AI3" s="316">
        <f t="shared" si="7"/>
      </c>
      <c r="AJ3" s="316">
        <f t="shared" si="8"/>
      </c>
      <c r="AK3" s="316">
        <f t="shared" si="9"/>
      </c>
    </row>
    <row r="4" spans="1:37" ht="15">
      <c r="A4" s="50" t="s">
        <v>4</v>
      </c>
      <c r="P4" s="312">
        <f t="shared" si="10"/>
        <v>0.0010489173611111112</v>
      </c>
      <c r="Q4" s="247">
        <v>3</v>
      </c>
      <c r="R4" s="299">
        <v>0.029</v>
      </c>
      <c r="S4" s="250">
        <v>1.2</v>
      </c>
      <c r="T4" s="161"/>
      <c r="U4" s="310"/>
      <c r="V4" s="50">
        <f>IF($F$17=$P$2:$P$697,ROW($S$2:$S$697)-2,"")</f>
      </c>
      <c r="AA4" s="316">
        <f t="shared" si="0"/>
      </c>
      <c r="AB4" s="316">
        <f t="shared" si="1"/>
      </c>
      <c r="AC4" s="316">
        <f t="shared" si="2"/>
      </c>
      <c r="AD4" s="316">
        <f t="shared" si="3"/>
      </c>
      <c r="AE4" s="316">
        <f t="shared" si="4"/>
      </c>
      <c r="AG4" s="316">
        <f t="shared" si="5"/>
      </c>
      <c r="AH4" s="316">
        <f t="shared" si="6"/>
      </c>
      <c r="AI4" s="316">
        <f t="shared" si="7"/>
      </c>
      <c r="AJ4" s="316">
        <f t="shared" si="8"/>
      </c>
      <c r="AK4" s="316">
        <f t="shared" si="9"/>
      </c>
    </row>
    <row r="5" spans="1:37" ht="15">
      <c r="A5" s="50" t="s">
        <v>17</v>
      </c>
      <c r="B5" s="161" t="s">
        <v>279</v>
      </c>
      <c r="P5" s="312">
        <f t="shared" si="10"/>
        <v>0.001074266197337963</v>
      </c>
      <c r="Q5" s="247">
        <v>4</v>
      </c>
      <c r="R5" s="299">
        <v>0.029</v>
      </c>
      <c r="S5" s="250">
        <v>1.2</v>
      </c>
      <c r="AA5" s="316">
        <f t="shared" si="0"/>
      </c>
      <c r="AB5" s="316">
        <f t="shared" si="1"/>
      </c>
      <c r="AC5" s="316">
        <f t="shared" si="2"/>
      </c>
      <c r="AD5" s="316">
        <f t="shared" si="3"/>
      </c>
      <c r="AE5" s="316">
        <f t="shared" si="4"/>
      </c>
      <c r="AG5" s="316">
        <f t="shared" si="5"/>
      </c>
      <c r="AH5" s="316">
        <f t="shared" si="6"/>
      </c>
      <c r="AI5" s="316">
        <f t="shared" si="7"/>
      </c>
      <c r="AJ5" s="316">
        <f t="shared" si="8"/>
      </c>
      <c r="AK5" s="316">
        <f t="shared" si="9"/>
      </c>
    </row>
    <row r="6" spans="1:37" ht="15">
      <c r="A6" s="50" t="s">
        <v>25</v>
      </c>
      <c r="B6" s="50" t="s">
        <v>197</v>
      </c>
      <c r="P6" s="312">
        <f t="shared" si="10"/>
        <v>0.001100227630440297</v>
      </c>
      <c r="Q6" s="247">
        <v>5</v>
      </c>
      <c r="R6" s="299">
        <v>0.029</v>
      </c>
      <c r="S6" s="250">
        <v>1.2</v>
      </c>
      <c r="U6"/>
      <c r="AA6" s="316">
        <f t="shared" si="0"/>
      </c>
      <c r="AB6" s="316">
        <f t="shared" si="1"/>
      </c>
      <c r="AC6" s="316">
        <f t="shared" si="2"/>
      </c>
      <c r="AD6" s="316">
        <f t="shared" si="3"/>
      </c>
      <c r="AE6" s="316">
        <f t="shared" si="4"/>
      </c>
      <c r="AG6" s="316">
        <f t="shared" si="5"/>
      </c>
      <c r="AH6" s="316">
        <f t="shared" si="6"/>
      </c>
      <c r="AI6" s="316">
        <f t="shared" si="7"/>
      </c>
      <c r="AJ6" s="316">
        <f t="shared" si="8"/>
      </c>
      <c r="AK6" s="316">
        <f t="shared" si="9"/>
      </c>
    </row>
    <row r="7" spans="1:37" ht="15">
      <c r="A7" s="50" t="s">
        <v>29</v>
      </c>
      <c r="B7" s="81" t="s">
        <v>278</v>
      </c>
      <c r="C7" s="145"/>
      <c r="D7" s="145"/>
      <c r="P7" s="312">
        <f t="shared" si="10"/>
        <v>0.0011268164648426042</v>
      </c>
      <c r="Q7" s="247">
        <v>6</v>
      </c>
      <c r="R7" s="299">
        <v>0.029</v>
      </c>
      <c r="S7" s="250">
        <v>1.2</v>
      </c>
      <c r="U7"/>
      <c r="AA7" s="316">
        <f t="shared" si="0"/>
      </c>
      <c r="AB7" s="316">
        <f t="shared" si="1"/>
      </c>
      <c r="AC7" s="316">
        <f t="shared" si="2"/>
      </c>
      <c r="AD7" s="316">
        <f t="shared" si="3"/>
      </c>
      <c r="AE7" s="316">
        <f t="shared" si="4"/>
      </c>
      <c r="AG7" s="316">
        <f t="shared" si="5"/>
      </c>
      <c r="AH7" s="316">
        <f t="shared" si="6"/>
      </c>
      <c r="AI7" s="316">
        <f t="shared" si="7"/>
      </c>
      <c r="AJ7" s="316">
        <f t="shared" si="8"/>
      </c>
      <c r="AK7" s="316">
        <f t="shared" si="9"/>
      </c>
    </row>
    <row r="8" spans="16:37" ht="15">
      <c r="P8" s="312">
        <f t="shared" si="10"/>
        <v>0.0011540478627429672</v>
      </c>
      <c r="Q8" s="247">
        <v>7</v>
      </c>
      <c r="R8" s="299">
        <v>0.029</v>
      </c>
      <c r="S8" s="250">
        <v>1.2</v>
      </c>
      <c r="U8"/>
      <c r="AA8" s="316">
        <f t="shared" si="0"/>
      </c>
      <c r="AB8" s="316">
        <f t="shared" si="1"/>
      </c>
      <c r="AC8" s="316">
        <f t="shared" si="2"/>
      </c>
      <c r="AD8" s="316">
        <f t="shared" si="3"/>
      </c>
      <c r="AE8" s="316">
        <f t="shared" si="4"/>
      </c>
      <c r="AG8" s="316">
        <f t="shared" si="5"/>
      </c>
      <c r="AH8" s="316">
        <f t="shared" si="6"/>
      </c>
      <c r="AI8" s="316">
        <f t="shared" si="7"/>
      </c>
      <c r="AJ8" s="316">
        <f t="shared" si="8"/>
      </c>
      <c r="AK8" s="316">
        <f t="shared" si="9"/>
      </c>
    </row>
    <row r="9" spans="16:37" ht="17.25">
      <c r="P9" s="312">
        <f>P8+(P8*R8/S8)</f>
        <v>0.0011819373527592555</v>
      </c>
      <c r="Q9" s="247">
        <v>8</v>
      </c>
      <c r="R9" s="299">
        <v>0.029</v>
      </c>
      <c r="S9" s="250">
        <v>1.2</v>
      </c>
      <c r="U9" s="314"/>
      <c r="AA9" s="316">
        <f t="shared" si="0"/>
      </c>
      <c r="AB9" s="316">
        <f t="shared" si="1"/>
      </c>
      <c r="AC9" s="316">
        <f t="shared" si="2"/>
      </c>
      <c r="AD9" s="316">
        <f t="shared" si="3"/>
      </c>
      <c r="AE9" s="316">
        <f t="shared" si="4"/>
      </c>
      <c r="AG9" s="316">
        <f t="shared" si="5"/>
      </c>
      <c r="AH9" s="316">
        <f t="shared" si="6"/>
      </c>
      <c r="AI9" s="316">
        <f t="shared" si="7"/>
      </c>
      <c r="AJ9" s="316">
        <f t="shared" si="8"/>
      </c>
      <c r="AK9" s="316">
        <f t="shared" si="9"/>
      </c>
    </row>
    <row r="10" spans="1:37" ht="15.75">
      <c r="A10" s="51"/>
      <c r="C10" s="161" t="s">
        <v>280</v>
      </c>
      <c r="F10" s="221">
        <v>0.39</v>
      </c>
      <c r="H10" s="398" t="s">
        <v>338</v>
      </c>
      <c r="I10" s="224">
        <v>0.02</v>
      </c>
      <c r="J10" s="236" t="s">
        <v>344</v>
      </c>
      <c r="K10" s="236"/>
      <c r="L10" s="145"/>
      <c r="M10" s="145"/>
      <c r="N10" s="145"/>
      <c r="P10" s="312">
        <f t="shared" si="10"/>
        <v>0.0012105008387842708</v>
      </c>
      <c r="Q10" s="247">
        <v>9</v>
      </c>
      <c r="R10" s="299">
        <v>0.029</v>
      </c>
      <c r="S10" s="250">
        <v>1.2</v>
      </c>
      <c r="U10" s="310"/>
      <c r="W10" s="310"/>
      <c r="AA10" s="316">
        <f t="shared" si="0"/>
      </c>
      <c r="AB10" s="316">
        <f t="shared" si="1"/>
      </c>
      <c r="AC10" s="316">
        <f t="shared" si="2"/>
      </c>
      <c r="AD10" s="316">
        <f t="shared" si="3"/>
      </c>
      <c r="AE10" s="316">
        <f t="shared" si="4"/>
      </c>
      <c r="AG10" s="316">
        <f t="shared" si="5"/>
      </c>
      <c r="AH10" s="316">
        <f t="shared" si="6"/>
      </c>
      <c r="AI10" s="316">
        <f t="shared" si="7"/>
      </c>
      <c r="AJ10" s="316">
        <f t="shared" si="8"/>
      </c>
      <c r="AK10" s="316">
        <f t="shared" si="9"/>
      </c>
    </row>
    <row r="11" spans="3:37" ht="15.75">
      <c r="C11" s="49" t="s">
        <v>438</v>
      </c>
      <c r="F11" s="399">
        <v>4.95</v>
      </c>
      <c r="G11" s="157" t="s">
        <v>48</v>
      </c>
      <c r="H11" s="397">
        <f>F11/2.2046</f>
        <v>2.2453052707974237</v>
      </c>
      <c r="I11" s="50" t="s">
        <v>49</v>
      </c>
      <c r="K11" s="236"/>
      <c r="L11" s="145"/>
      <c r="M11" s="145"/>
      <c r="P11" s="312">
        <f t="shared" si="10"/>
        <v>0.0012397546090548905</v>
      </c>
      <c r="Q11" s="247">
        <v>10</v>
      </c>
      <c r="R11" s="299">
        <v>0.029</v>
      </c>
      <c r="S11" s="250">
        <v>1.2</v>
      </c>
      <c r="U11" s="310"/>
      <c r="AA11" s="316">
        <f t="shared" si="0"/>
      </c>
      <c r="AB11" s="316">
        <f t="shared" si="1"/>
      </c>
      <c r="AC11" s="316">
        <f t="shared" si="2"/>
      </c>
      <c r="AD11" s="316">
        <f t="shared" si="3"/>
      </c>
      <c r="AE11" s="316">
        <f t="shared" si="4"/>
      </c>
      <c r="AG11" s="316">
        <f t="shared" si="5"/>
      </c>
      <c r="AH11" s="316">
        <f t="shared" si="6"/>
      </c>
      <c r="AI11" s="316">
        <f t="shared" si="7"/>
      </c>
      <c r="AJ11" s="316">
        <f t="shared" si="8"/>
      </c>
      <c r="AK11" s="316">
        <f t="shared" si="9"/>
      </c>
    </row>
    <row r="12" spans="3:37" ht="15.75">
      <c r="C12" s="219" t="s">
        <v>281</v>
      </c>
      <c r="E12" s="222">
        <v>0</v>
      </c>
      <c r="F12" s="145"/>
      <c r="G12" s="220"/>
      <c r="H12" s="127">
        <v>100</v>
      </c>
      <c r="I12" s="161" t="s">
        <v>432</v>
      </c>
      <c r="P12" s="312">
        <f t="shared" si="10"/>
        <v>0.0012697153454403838</v>
      </c>
      <c r="Q12" s="247">
        <v>11</v>
      </c>
      <c r="R12" s="299">
        <v>0.029</v>
      </c>
      <c r="S12" s="250">
        <v>1.2</v>
      </c>
      <c r="U12" s="310"/>
      <c r="AA12" s="316">
        <f t="shared" si="0"/>
      </c>
      <c r="AB12" s="316">
        <f t="shared" si="1"/>
      </c>
      <c r="AC12" s="316">
        <f t="shared" si="2"/>
      </c>
      <c r="AD12" s="316">
        <f t="shared" si="3"/>
      </c>
      <c r="AE12" s="316">
        <f t="shared" si="4"/>
      </c>
      <c r="AG12" s="316">
        <f t="shared" si="5"/>
      </c>
      <c r="AH12" s="316">
        <f t="shared" si="6"/>
      </c>
      <c r="AI12" s="316">
        <f t="shared" si="7"/>
      </c>
      <c r="AJ12" s="316">
        <f t="shared" si="8"/>
      </c>
      <c r="AK12" s="316">
        <f t="shared" si="9"/>
      </c>
    </row>
    <row r="13" spans="1:37" s="33" customFormat="1" ht="15.75">
      <c r="A13" s="50"/>
      <c r="B13" s="50"/>
      <c r="C13" s="50"/>
      <c r="D13" s="50"/>
      <c r="E13" s="50"/>
      <c r="G13" s="36"/>
      <c r="O13" s="380"/>
      <c r="P13" s="312">
        <f t="shared" si="10"/>
        <v>0.001300400132955193</v>
      </c>
      <c r="Q13" s="247">
        <v>12</v>
      </c>
      <c r="R13" s="299">
        <v>0.029</v>
      </c>
      <c r="S13" s="250">
        <v>1.2</v>
      </c>
      <c r="U13" s="310"/>
      <c r="AA13" s="316">
        <f t="shared" si="0"/>
      </c>
      <c r="AB13" s="316">
        <f t="shared" si="1"/>
      </c>
      <c r="AC13" s="316">
        <f t="shared" si="2"/>
      </c>
      <c r="AD13" s="316">
        <f t="shared" si="3"/>
      </c>
      <c r="AE13" s="316">
        <f t="shared" si="4"/>
      </c>
      <c r="AG13" s="316">
        <f t="shared" si="5"/>
      </c>
      <c r="AH13" s="316">
        <f t="shared" si="6"/>
      </c>
      <c r="AI13" s="316">
        <f t="shared" si="7"/>
      </c>
      <c r="AJ13" s="316">
        <f t="shared" si="8"/>
      </c>
      <c r="AK13" s="316">
        <f t="shared" si="9"/>
      </c>
    </row>
    <row r="14" spans="1:37" s="33" customFormat="1" ht="15.75">
      <c r="A14" s="36" t="s">
        <v>178</v>
      </c>
      <c r="B14" s="36"/>
      <c r="C14" s="36"/>
      <c r="D14" s="36"/>
      <c r="E14" s="36"/>
      <c r="F14" s="36"/>
      <c r="G14" s="36"/>
      <c r="O14" s="380"/>
      <c r="P14" s="312">
        <f t="shared" si="10"/>
        <v>0.0013318264695016103</v>
      </c>
      <c r="Q14" s="247">
        <v>13</v>
      </c>
      <c r="R14" s="299">
        <v>0.029</v>
      </c>
      <c r="S14" s="250">
        <v>1.2</v>
      </c>
      <c r="U14" s="310"/>
      <c r="AA14" s="316">
        <f t="shared" si="0"/>
      </c>
      <c r="AB14" s="316">
        <f t="shared" si="1"/>
      </c>
      <c r="AC14" s="316">
        <f t="shared" si="2"/>
      </c>
      <c r="AD14" s="316">
        <f t="shared" si="3"/>
      </c>
      <c r="AE14" s="316">
        <f t="shared" si="4"/>
      </c>
      <c r="AG14" s="316">
        <f t="shared" si="5"/>
      </c>
      <c r="AH14" s="316">
        <f t="shared" si="6"/>
      </c>
      <c r="AI14" s="316">
        <f t="shared" si="7"/>
      </c>
      <c r="AJ14" s="316">
        <f t="shared" si="8"/>
      </c>
      <c r="AK14" s="316">
        <f t="shared" si="9"/>
      </c>
    </row>
    <row r="15" spans="1:37" s="145" customFormat="1" ht="15.75">
      <c r="A15" s="82"/>
      <c r="B15" s="82"/>
      <c r="C15" s="82"/>
      <c r="D15" s="82"/>
      <c r="E15" s="82"/>
      <c r="F15" s="228" t="s">
        <v>282</v>
      </c>
      <c r="G15" s="228" t="s">
        <v>283</v>
      </c>
      <c r="H15" s="228" t="s">
        <v>284</v>
      </c>
      <c r="I15" s="228" t="s">
        <v>285</v>
      </c>
      <c r="J15" s="228" t="s">
        <v>343</v>
      </c>
      <c r="K15" s="228" t="s">
        <v>108</v>
      </c>
      <c r="L15" s="54"/>
      <c r="O15" s="227"/>
      <c r="P15" s="312">
        <f t="shared" si="10"/>
        <v>0.0013640122758478992</v>
      </c>
      <c r="Q15" s="247">
        <v>14</v>
      </c>
      <c r="R15" s="299">
        <v>0.029</v>
      </c>
      <c r="S15" s="250">
        <v>1.2</v>
      </c>
      <c r="U15" s="310"/>
      <c r="AA15" s="316">
        <f t="shared" si="0"/>
      </c>
      <c r="AB15" s="316">
        <f t="shared" si="1"/>
      </c>
      <c r="AC15" s="316">
        <f t="shared" si="2"/>
      </c>
      <c r="AD15" s="316">
        <f t="shared" si="3"/>
      </c>
      <c r="AE15" s="316">
        <f t="shared" si="4"/>
      </c>
      <c r="AG15" s="316">
        <f t="shared" si="5"/>
      </c>
      <c r="AH15" s="316">
        <f t="shared" si="6"/>
      </c>
      <c r="AI15" s="316">
        <f t="shared" si="7"/>
      </c>
      <c r="AJ15" s="316">
        <f t="shared" si="8"/>
      </c>
      <c r="AK15" s="316">
        <f t="shared" si="9"/>
      </c>
    </row>
    <row r="16" spans="1:37" ht="15.75">
      <c r="A16" s="223" t="s">
        <v>301</v>
      </c>
      <c r="B16" s="52"/>
      <c r="C16" s="52"/>
      <c r="D16" s="52"/>
      <c r="E16" s="52"/>
      <c r="F16" s="128">
        <v>74200</v>
      </c>
      <c r="G16" s="115">
        <f>F23</f>
        <v>72345</v>
      </c>
      <c r="H16" s="115">
        <f>G23</f>
        <v>70898</v>
      </c>
      <c r="I16" s="115">
        <f>H23</f>
        <v>69657</v>
      </c>
      <c r="J16" s="115">
        <f>I23</f>
        <v>68612</v>
      </c>
      <c r="K16" s="273"/>
      <c r="L16" s="52"/>
      <c r="P16" s="312">
        <f t="shared" si="10"/>
        <v>0.0013969759058475566</v>
      </c>
      <c r="Q16" s="247">
        <v>15</v>
      </c>
      <c r="R16" s="299">
        <v>0.029</v>
      </c>
      <c r="S16" s="250">
        <v>1.2</v>
      </c>
      <c r="U16" s="310"/>
      <c r="AA16" s="316">
        <f t="shared" si="0"/>
      </c>
      <c r="AB16" s="316">
        <f t="shared" si="1"/>
      </c>
      <c r="AC16" s="316">
        <f t="shared" si="2"/>
      </c>
      <c r="AD16" s="316">
        <f t="shared" si="3"/>
      </c>
      <c r="AE16" s="316">
        <f t="shared" si="4"/>
      </c>
      <c r="AG16" s="316">
        <f t="shared" si="5"/>
      </c>
      <c r="AH16" s="316">
        <f t="shared" si="6"/>
      </c>
      <c r="AI16" s="316">
        <f t="shared" si="7"/>
      </c>
      <c r="AJ16" s="316">
        <f t="shared" si="8"/>
      </c>
      <c r="AK16" s="316">
        <f t="shared" si="9"/>
      </c>
    </row>
    <row r="17" spans="1:37" ht="15.75">
      <c r="A17" s="223" t="s">
        <v>71</v>
      </c>
      <c r="B17" s="52"/>
      <c r="C17" s="52"/>
      <c r="D17" s="52"/>
      <c r="E17" s="52"/>
      <c r="F17" s="400">
        <f>I10</f>
        <v>0.02</v>
      </c>
      <c r="G17" s="225">
        <f>F18</f>
        <v>0.05</v>
      </c>
      <c r="H17" s="225">
        <f>G18</f>
        <v>0.2</v>
      </c>
      <c r="I17" s="225">
        <f>H18</f>
        <v>0.5</v>
      </c>
      <c r="J17" s="225">
        <f>I18</f>
        <v>1</v>
      </c>
      <c r="K17" s="274"/>
      <c r="L17" s="52"/>
      <c r="P17" s="312">
        <f t="shared" si="10"/>
        <v>0.0014307361569055393</v>
      </c>
      <c r="Q17" s="247">
        <v>16</v>
      </c>
      <c r="R17" s="299">
        <v>0.029</v>
      </c>
      <c r="S17" s="250">
        <v>1.2</v>
      </c>
      <c r="U17" s="310"/>
      <c r="AA17" s="316">
        <f t="shared" si="0"/>
      </c>
      <c r="AB17" s="316">
        <f t="shared" si="1"/>
      </c>
      <c r="AC17" s="316">
        <f t="shared" si="2"/>
      </c>
      <c r="AD17" s="316">
        <f t="shared" si="3"/>
      </c>
      <c r="AE17" s="316">
        <f t="shared" si="4"/>
      </c>
      <c r="AG17" s="316">
        <f t="shared" si="5"/>
      </c>
      <c r="AH17" s="316">
        <f t="shared" si="6"/>
      </c>
      <c r="AI17" s="316">
        <f t="shared" si="7"/>
      </c>
      <c r="AJ17" s="316">
        <f t="shared" si="8"/>
      </c>
      <c r="AK17" s="316">
        <f t="shared" si="9"/>
      </c>
    </row>
    <row r="18" spans="1:37" ht="15.75">
      <c r="A18" s="52" t="s">
        <v>74</v>
      </c>
      <c r="B18" s="52"/>
      <c r="C18" s="52"/>
      <c r="D18" s="52"/>
      <c r="E18" s="52"/>
      <c r="F18" s="305">
        <v>0.05</v>
      </c>
      <c r="G18" s="305">
        <v>0.2</v>
      </c>
      <c r="H18" s="305">
        <v>0.5</v>
      </c>
      <c r="I18" s="305">
        <v>1</v>
      </c>
      <c r="J18" s="305">
        <v>2</v>
      </c>
      <c r="K18" s="274"/>
      <c r="L18" s="52"/>
      <c r="M18" s="236"/>
      <c r="N18" s="145"/>
      <c r="P18" s="312">
        <f t="shared" si="10"/>
        <v>0.001465312280697423</v>
      </c>
      <c r="Q18" s="247">
        <v>17</v>
      </c>
      <c r="R18" s="299">
        <v>0.029</v>
      </c>
      <c r="S18" s="250">
        <v>1.2</v>
      </c>
      <c r="U18" s="310"/>
      <c r="AA18" s="316">
        <f t="shared" si="0"/>
      </c>
      <c r="AB18" s="316">
        <f t="shared" si="1"/>
      </c>
      <c r="AC18" s="316">
        <f t="shared" si="2"/>
      </c>
      <c r="AD18" s="316">
        <f t="shared" si="3"/>
      </c>
      <c r="AE18" s="316">
        <f t="shared" si="4"/>
      </c>
      <c r="AG18" s="316">
        <f t="shared" si="5"/>
      </c>
      <c r="AH18" s="316">
        <f t="shared" si="6"/>
      </c>
      <c r="AI18" s="316">
        <f t="shared" si="7"/>
      </c>
      <c r="AJ18" s="316">
        <f t="shared" si="8"/>
      </c>
      <c r="AK18" s="316">
        <f t="shared" si="9"/>
      </c>
    </row>
    <row r="19" spans="1:37" ht="15.75">
      <c r="A19" s="52" t="s">
        <v>76</v>
      </c>
      <c r="B19" s="52"/>
      <c r="C19" s="52"/>
      <c r="D19" s="52"/>
      <c r="E19" s="52"/>
      <c r="F19" s="306">
        <v>2.5</v>
      </c>
      <c r="G19" s="306">
        <v>2</v>
      </c>
      <c r="H19" s="306">
        <v>1.75</v>
      </c>
      <c r="I19" s="306">
        <v>1.5</v>
      </c>
      <c r="J19" s="306">
        <v>1.25</v>
      </c>
      <c r="K19" s="275">
        <f>((F16-J23)/F16)*100</f>
        <v>8.68733153638814</v>
      </c>
      <c r="L19" s="52"/>
      <c r="P19" s="312">
        <f t="shared" si="10"/>
        <v>0.0015007239941476108</v>
      </c>
      <c r="Q19" s="247">
        <v>18</v>
      </c>
      <c r="R19" s="299">
        <v>0.029</v>
      </c>
      <c r="S19" s="250">
        <v>1.2</v>
      </c>
      <c r="U19" s="310"/>
      <c r="AA19" s="316">
        <f t="shared" si="0"/>
      </c>
      <c r="AB19" s="316">
        <f t="shared" si="1"/>
      </c>
      <c r="AC19" s="316">
        <f t="shared" si="2"/>
      </c>
      <c r="AD19" s="316">
        <f t="shared" si="3"/>
      </c>
      <c r="AE19" s="316">
        <f t="shared" si="4"/>
      </c>
      <c r="AG19" s="316">
        <f t="shared" si="5"/>
      </c>
      <c r="AH19" s="316">
        <f t="shared" si="6"/>
      </c>
      <c r="AI19" s="316">
        <f t="shared" si="7"/>
      </c>
      <c r="AJ19" s="316">
        <f t="shared" si="8"/>
      </c>
      <c r="AK19" s="316">
        <f t="shared" si="9"/>
      </c>
    </row>
    <row r="20" spans="1:37" ht="15.75">
      <c r="A20" s="135" t="s">
        <v>346</v>
      </c>
      <c r="B20" s="52"/>
      <c r="C20" s="52"/>
      <c r="D20" s="52"/>
      <c r="E20" s="52"/>
      <c r="F20" s="321">
        <f>AA1</f>
        <v>2.167</v>
      </c>
      <c r="G20" s="321">
        <f>AB1</f>
        <v>1.438</v>
      </c>
      <c r="H20" s="321">
        <f>AC1</f>
        <v>1.142</v>
      </c>
      <c r="I20" s="321">
        <f>AD1</f>
        <v>0.9</v>
      </c>
      <c r="J20" s="321">
        <f>AE1</f>
        <v>0.742</v>
      </c>
      <c r="K20" s="276"/>
      <c r="L20" s="52"/>
      <c r="P20" s="312">
        <f t="shared" si="10"/>
        <v>0.0015369914906728447</v>
      </c>
      <c r="Q20" s="247">
        <v>19</v>
      </c>
      <c r="R20" s="299">
        <v>0.029</v>
      </c>
      <c r="S20" s="250">
        <v>1.2</v>
      </c>
      <c r="U20" s="310"/>
      <c r="AA20" s="316">
        <f t="shared" si="0"/>
      </c>
      <c r="AB20" s="316">
        <f t="shared" si="1"/>
      </c>
      <c r="AC20" s="316">
        <f t="shared" si="2"/>
      </c>
      <c r="AD20" s="316">
        <f t="shared" si="3"/>
      </c>
      <c r="AE20" s="316">
        <f t="shared" si="4"/>
      </c>
      <c r="AG20" s="316">
        <f t="shared" si="5"/>
      </c>
      <c r="AH20" s="316">
        <f t="shared" si="6"/>
      </c>
      <c r="AI20" s="316">
        <f t="shared" si="7"/>
      </c>
      <c r="AJ20" s="316">
        <f t="shared" si="8"/>
      </c>
      <c r="AK20" s="316">
        <f t="shared" si="9"/>
      </c>
    </row>
    <row r="21" spans="1:37" ht="15.75">
      <c r="A21" s="52" t="s">
        <v>78</v>
      </c>
      <c r="B21" s="52"/>
      <c r="C21" s="52"/>
      <c r="D21" s="52"/>
      <c r="E21" s="52"/>
      <c r="F21" s="322">
        <f>U3</f>
        <v>38</v>
      </c>
      <c r="G21" s="322">
        <f>V3</f>
        <v>90</v>
      </c>
      <c r="H21" s="322">
        <f>W3</f>
        <v>79</v>
      </c>
      <c r="I21" s="322">
        <f>X3</f>
        <v>82</v>
      </c>
      <c r="J21" s="322">
        <f>Y3</f>
        <v>113</v>
      </c>
      <c r="K21" s="273">
        <f>SUM(F21:J21)</f>
        <v>402</v>
      </c>
      <c r="L21" s="52"/>
      <c r="M21" s="161"/>
      <c r="P21" s="312">
        <f t="shared" si="10"/>
        <v>0.0015741354516974385</v>
      </c>
      <c r="Q21" s="247">
        <v>20</v>
      </c>
      <c r="R21" s="299">
        <v>0.029</v>
      </c>
      <c r="S21" s="250">
        <v>1.2</v>
      </c>
      <c r="U21" s="310"/>
      <c r="AA21" s="316">
        <f t="shared" si="0"/>
      </c>
      <c r="AB21" s="316">
        <f t="shared" si="1"/>
      </c>
      <c r="AC21" s="316">
        <f t="shared" si="2"/>
      </c>
      <c r="AD21" s="316">
        <f t="shared" si="3"/>
      </c>
      <c r="AE21" s="316">
        <f t="shared" si="4"/>
      </c>
      <c r="AG21" s="316">
        <f t="shared" si="5"/>
      </c>
      <c r="AH21" s="316">
        <f t="shared" si="6"/>
      </c>
      <c r="AI21" s="316">
        <f t="shared" si="7"/>
      </c>
      <c r="AJ21" s="316">
        <f t="shared" si="8"/>
      </c>
      <c r="AK21" s="316">
        <f t="shared" si="9"/>
      </c>
    </row>
    <row r="22" spans="1:37" ht="15.75">
      <c r="A22" s="52" t="s">
        <v>195</v>
      </c>
      <c r="B22" s="52"/>
      <c r="C22" s="52"/>
      <c r="D22" s="52"/>
      <c r="E22" s="52"/>
      <c r="F22" s="323">
        <f>AG1</f>
        <v>0.888</v>
      </c>
      <c r="G22" s="323">
        <f>AH1</f>
        <v>0.924</v>
      </c>
      <c r="H22" s="323">
        <f>AI1</f>
        <v>0.984</v>
      </c>
      <c r="I22" s="323">
        <f>AJ1</f>
        <v>1.062</v>
      </c>
      <c r="J22" s="323">
        <f>AK1</f>
        <v>1.2</v>
      </c>
      <c r="K22" s="277">
        <f>(F22*(F18-F17)+G22*(G18-G17)+H22*(H18-H17)+I22*(I18-I17)+J22*(J18-J17))/(J18-F17)</f>
        <v>1.1067878787878789</v>
      </c>
      <c r="L22" s="52"/>
      <c r="P22" s="312">
        <f t="shared" si="10"/>
        <v>0.0016121770584467932</v>
      </c>
      <c r="Q22" s="247">
        <v>21</v>
      </c>
      <c r="R22" s="299">
        <v>0.029</v>
      </c>
      <c r="S22" s="250">
        <v>1.2</v>
      </c>
      <c r="U22" s="310"/>
      <c r="AA22" s="316">
        <f t="shared" si="0"/>
      </c>
      <c r="AB22" s="316">
        <f t="shared" si="1"/>
      </c>
      <c r="AC22" s="316">
        <f t="shared" si="2"/>
      </c>
      <c r="AD22" s="316">
        <f t="shared" si="3"/>
      </c>
      <c r="AE22" s="316">
        <f t="shared" si="4"/>
      </c>
      <c r="AG22" s="316">
        <f t="shared" si="5"/>
      </c>
      <c r="AH22" s="316">
        <f t="shared" si="6"/>
      </c>
      <c r="AI22" s="316">
        <f t="shared" si="7"/>
      </c>
      <c r="AJ22" s="316">
        <f t="shared" si="8"/>
      </c>
      <c r="AK22" s="316">
        <f t="shared" si="9"/>
      </c>
    </row>
    <row r="23" spans="1:37" ht="15.75">
      <c r="A23" s="223" t="s">
        <v>286</v>
      </c>
      <c r="B23" s="52"/>
      <c r="C23" s="52"/>
      <c r="D23" s="52"/>
      <c r="E23" s="52"/>
      <c r="F23" s="115">
        <f>ROUND(F16-(F16*F19/100),0)</f>
        <v>72345</v>
      </c>
      <c r="G23" s="115">
        <f>ROUND(G16-(G16*G19/100),0)</f>
        <v>70898</v>
      </c>
      <c r="H23" s="115">
        <f>ROUND(H16-(H16*H19/100),0)</f>
        <v>69657</v>
      </c>
      <c r="I23" s="115">
        <f>ROUND(I16-(I16*I19/100),0)</f>
        <v>68612</v>
      </c>
      <c r="J23" s="115">
        <f>ROUND(J16-(J16*J19/100),0)</f>
        <v>67754</v>
      </c>
      <c r="K23" s="273"/>
      <c r="L23" s="52"/>
      <c r="P23" s="312">
        <f t="shared" si="10"/>
        <v>0.001651138004025924</v>
      </c>
      <c r="Q23" s="247">
        <v>22</v>
      </c>
      <c r="R23" s="299">
        <v>0.029</v>
      </c>
      <c r="S23" s="250">
        <v>1.2</v>
      </c>
      <c r="U23" s="310"/>
      <c r="AA23" s="316">
        <f t="shared" si="0"/>
      </c>
      <c r="AB23" s="316">
        <f t="shared" si="1"/>
      </c>
      <c r="AC23" s="316">
        <f t="shared" si="2"/>
      </c>
      <c r="AD23" s="316">
        <f t="shared" si="3"/>
      </c>
      <c r="AE23" s="316">
        <f t="shared" si="4"/>
      </c>
      <c r="AG23" s="316">
        <f t="shared" si="5"/>
      </c>
      <c r="AH23" s="316">
        <f t="shared" si="6"/>
      </c>
      <c r="AI23" s="316">
        <f t="shared" si="7"/>
      </c>
      <c r="AJ23" s="316">
        <f t="shared" si="8"/>
      </c>
      <c r="AK23" s="316">
        <f t="shared" si="9"/>
      </c>
    </row>
    <row r="24" spans="1:37" ht="15.75">
      <c r="A24" s="223" t="s">
        <v>348</v>
      </c>
      <c r="B24" s="52"/>
      <c r="C24" s="52"/>
      <c r="D24" s="52"/>
      <c r="E24" s="52"/>
      <c r="F24" s="229">
        <f>F18-F17</f>
        <v>0.030000000000000002</v>
      </c>
      <c r="G24" s="229">
        <f>G18-G17</f>
        <v>0.15000000000000002</v>
      </c>
      <c r="H24" s="229">
        <f>H18-H17</f>
        <v>0.3</v>
      </c>
      <c r="I24" s="229">
        <f>I18-I17</f>
        <v>0.5</v>
      </c>
      <c r="J24" s="229">
        <f>J18-J17</f>
        <v>1</v>
      </c>
      <c r="K24" s="278">
        <f>SUM(F24:J24)</f>
        <v>1.98</v>
      </c>
      <c r="L24" s="52"/>
      <c r="P24" s="312">
        <f t="shared" si="10"/>
        <v>0.001691040505789884</v>
      </c>
      <c r="Q24" s="247">
        <v>23</v>
      </c>
      <c r="R24" s="299">
        <v>0.029</v>
      </c>
      <c r="S24" s="250">
        <v>1.2</v>
      </c>
      <c r="U24" s="310"/>
      <c r="AA24" s="316">
        <f t="shared" si="0"/>
      </c>
      <c r="AB24" s="316">
        <f t="shared" si="1"/>
      </c>
      <c r="AC24" s="316">
        <f t="shared" si="2"/>
      </c>
      <c r="AD24" s="316">
        <f t="shared" si="3"/>
      </c>
      <c r="AE24" s="316">
        <f t="shared" si="4"/>
      </c>
      <c r="AG24" s="316">
        <f t="shared" si="5"/>
      </c>
      <c r="AH24" s="316">
        <f t="shared" si="6"/>
      </c>
      <c r="AI24" s="316">
        <f t="shared" si="7"/>
      </c>
      <c r="AJ24" s="316">
        <f t="shared" si="8"/>
      </c>
      <c r="AK24" s="316">
        <f t="shared" si="9"/>
      </c>
    </row>
    <row r="25" spans="1:37" ht="15.75">
      <c r="A25" s="223" t="s">
        <v>347</v>
      </c>
      <c r="B25" s="52"/>
      <c r="C25" s="52"/>
      <c r="D25" s="52"/>
      <c r="E25" s="52"/>
      <c r="F25" s="253">
        <f>F22*F24</f>
        <v>0.026640000000000004</v>
      </c>
      <c r="G25" s="253">
        <f>G22*G24</f>
        <v>0.13860000000000003</v>
      </c>
      <c r="H25" s="253">
        <f>H22*H24</f>
        <v>0.29519999999999996</v>
      </c>
      <c r="I25" s="253">
        <f>I22*I24</f>
        <v>0.531</v>
      </c>
      <c r="J25" s="253">
        <f>J22*J24</f>
        <v>1.2</v>
      </c>
      <c r="K25" s="278">
        <f>SUM(F25:J25)</f>
        <v>2.19144</v>
      </c>
      <c r="L25" s="52"/>
      <c r="P25" s="312">
        <f t="shared" si="10"/>
        <v>0.0017319073180131395</v>
      </c>
      <c r="Q25" s="247">
        <v>24</v>
      </c>
      <c r="R25" s="299">
        <v>0.029</v>
      </c>
      <c r="S25" s="250">
        <v>1.2</v>
      </c>
      <c r="U25" s="310"/>
      <c r="AA25" s="316">
        <f t="shared" si="0"/>
      </c>
      <c r="AB25" s="316">
        <f t="shared" si="1"/>
      </c>
      <c r="AC25" s="316">
        <f t="shared" si="2"/>
      </c>
      <c r="AD25" s="316">
        <f t="shared" si="3"/>
      </c>
      <c r="AE25" s="316">
        <f t="shared" si="4"/>
      </c>
      <c r="AG25" s="316">
        <f t="shared" si="5"/>
      </c>
      <c r="AH25" s="316">
        <f t="shared" si="6"/>
      </c>
      <c r="AI25" s="316">
        <f t="shared" si="7"/>
      </c>
      <c r="AJ25" s="316">
        <f t="shared" si="8"/>
      </c>
      <c r="AK25" s="316">
        <f t="shared" si="9"/>
      </c>
    </row>
    <row r="26" spans="1:37" ht="15.75" hidden="1">
      <c r="A26" s="223" t="s">
        <v>91</v>
      </c>
      <c r="B26" s="52"/>
      <c r="C26" s="52"/>
      <c r="D26" s="52"/>
      <c r="E26" s="52"/>
      <c r="F26" s="251">
        <f>(F18-F17)/F21</f>
        <v>0.0007894736842105264</v>
      </c>
      <c r="G26" s="251">
        <f>(G18-G17)/G21</f>
        <v>0.001666666666666667</v>
      </c>
      <c r="H26" s="251">
        <f>(H18-H17)/H21</f>
        <v>0.0037974683544303796</v>
      </c>
      <c r="I26" s="251">
        <f>(I18-I17)/I21</f>
        <v>0.006097560975609756</v>
      </c>
      <c r="J26" s="251">
        <f>(J18-J17)/J21</f>
        <v>0.008849557522123894</v>
      </c>
      <c r="K26" s="279">
        <f>K24/K21</f>
        <v>0.004925373134328359</v>
      </c>
      <c r="L26" s="52"/>
      <c r="P26" s="312">
        <f t="shared" si="10"/>
        <v>0.0017737617448651236</v>
      </c>
      <c r="Q26" s="247">
        <v>25</v>
      </c>
      <c r="R26" s="299">
        <v>0.029</v>
      </c>
      <c r="S26" s="250">
        <v>1.2</v>
      </c>
      <c r="U26" s="310"/>
      <c r="AA26" s="316">
        <f t="shared" si="0"/>
      </c>
      <c r="AB26" s="316">
        <f t="shared" si="1"/>
      </c>
      <c r="AC26" s="316">
        <f t="shared" si="2"/>
      </c>
      <c r="AD26" s="316">
        <f t="shared" si="3"/>
      </c>
      <c r="AE26" s="316">
        <f t="shared" si="4"/>
      </c>
      <c r="AG26" s="316">
        <f t="shared" si="5"/>
      </c>
      <c r="AH26" s="316">
        <f t="shared" si="6"/>
      </c>
      <c r="AI26" s="316">
        <f t="shared" si="7"/>
      </c>
      <c r="AJ26" s="316">
        <f t="shared" si="8"/>
      </c>
      <c r="AK26" s="316">
        <f t="shared" si="9"/>
      </c>
    </row>
    <row r="27" spans="1:37" s="227" customFormat="1" ht="15.75" hidden="1">
      <c r="A27" s="232" t="s">
        <v>287</v>
      </c>
      <c r="B27" s="226"/>
      <c r="C27" s="226"/>
      <c r="D27" s="226"/>
      <c r="E27" s="226"/>
      <c r="F27" s="230">
        <f>((F16+F23)/2)/$G$37</f>
        <v>82707.58904109588</v>
      </c>
      <c r="G27" s="230">
        <f>((G16+G23)/2)/$G$37</f>
        <v>80843.99452054795</v>
      </c>
      <c r="H27" s="230">
        <f>((H16+H23)/2)/$G$37</f>
        <v>79326.93150684932</v>
      </c>
      <c r="I27" s="230">
        <f>((I16+I23)/2)/$G$37</f>
        <v>78036.7506849315</v>
      </c>
      <c r="J27" s="230">
        <f>((J16+J23)/2)/$G$37</f>
        <v>76962.72876712328</v>
      </c>
      <c r="K27" s="280">
        <f>SUM(F27:J27)/5</f>
        <v>79575.59890410959</v>
      </c>
      <c r="L27" s="226"/>
      <c r="P27" s="312">
        <f t="shared" si="10"/>
        <v>0.001816627653699364</v>
      </c>
      <c r="Q27" s="247">
        <v>26</v>
      </c>
      <c r="R27" s="299">
        <v>0.029</v>
      </c>
      <c r="S27" s="250">
        <v>1.2</v>
      </c>
      <c r="U27" s="310"/>
      <c r="AA27" s="316">
        <f t="shared" si="0"/>
      </c>
      <c r="AB27" s="316">
        <f t="shared" si="1"/>
      </c>
      <c r="AC27" s="316">
        <f t="shared" si="2"/>
      </c>
      <c r="AD27" s="316">
        <f t="shared" si="3"/>
      </c>
      <c r="AE27" s="316">
        <f t="shared" si="4"/>
      </c>
      <c r="AG27" s="316">
        <f t="shared" si="5"/>
      </c>
      <c r="AH27" s="316">
        <f t="shared" si="6"/>
      </c>
      <c r="AI27" s="316">
        <f t="shared" si="7"/>
      </c>
      <c r="AJ27" s="316">
        <f t="shared" si="8"/>
      </c>
      <c r="AK27" s="316">
        <f t="shared" si="9"/>
      </c>
    </row>
    <row r="28" spans="1:37" s="145" customFormat="1" ht="15.75">
      <c r="A28" s="135" t="s">
        <v>364</v>
      </c>
      <c r="B28" s="54"/>
      <c r="C28" s="54"/>
      <c r="D28" s="54"/>
      <c r="E28" s="54"/>
      <c r="F28" s="245">
        <f>(F16*F25)/1000</f>
        <v>1.9766880000000002</v>
      </c>
      <c r="G28" s="245">
        <f>(G16*G25)/1000</f>
        <v>10.027017000000003</v>
      </c>
      <c r="H28" s="245">
        <f>(H16*H25)/1000</f>
        <v>20.929089599999994</v>
      </c>
      <c r="I28" s="245">
        <f>(I16*I25)/1000</f>
        <v>36.987867</v>
      </c>
      <c r="J28" s="245">
        <f>(J16*J25)/1000</f>
        <v>82.33439999999999</v>
      </c>
      <c r="K28" s="274">
        <f>SUM(F28:J28)</f>
        <v>152.25506159999998</v>
      </c>
      <c r="L28" s="54"/>
      <c r="O28" s="227"/>
      <c r="P28" s="312">
        <f t="shared" si="10"/>
        <v>0.0018605294886637654</v>
      </c>
      <c r="Q28" s="247">
        <v>27</v>
      </c>
      <c r="R28" s="299">
        <v>0.029</v>
      </c>
      <c r="S28" s="250">
        <v>1.2</v>
      </c>
      <c r="U28" s="310"/>
      <c r="AA28" s="316">
        <f t="shared" si="0"/>
      </c>
      <c r="AB28" s="316">
        <f t="shared" si="1"/>
      </c>
      <c r="AC28" s="316">
        <f t="shared" si="2"/>
      </c>
      <c r="AD28" s="316">
        <f t="shared" si="3"/>
      </c>
      <c r="AE28" s="316">
        <f t="shared" si="4"/>
      </c>
      <c r="AG28" s="316">
        <f t="shared" si="5"/>
      </c>
      <c r="AH28" s="316">
        <f t="shared" si="6"/>
      </c>
      <c r="AI28" s="316">
        <f t="shared" si="7"/>
      </c>
      <c r="AJ28" s="316">
        <f t="shared" si="8"/>
      </c>
      <c r="AK28" s="316">
        <f t="shared" si="9"/>
      </c>
    </row>
    <row r="29" spans="16:37" ht="15">
      <c r="P29" s="312">
        <f t="shared" si="10"/>
        <v>0.0019054922846398065</v>
      </c>
      <c r="Q29" s="247">
        <v>28</v>
      </c>
      <c r="R29" s="299">
        <v>0.029</v>
      </c>
      <c r="S29" s="250">
        <v>1.2</v>
      </c>
      <c r="U29" s="310"/>
      <c r="AA29" s="316">
        <f t="shared" si="0"/>
      </c>
      <c r="AB29" s="316">
        <f t="shared" si="1"/>
      </c>
      <c r="AC29" s="316">
        <f t="shared" si="2"/>
      </c>
      <c r="AD29" s="316">
        <f t="shared" si="3"/>
      </c>
      <c r="AE29" s="316">
        <f t="shared" si="4"/>
      </c>
      <c r="AG29" s="316">
        <f t="shared" si="5"/>
      </c>
      <c r="AH29" s="316">
        <f t="shared" si="6"/>
      </c>
      <c r="AI29" s="316">
        <f t="shared" si="7"/>
      </c>
      <c r="AJ29" s="316">
        <f t="shared" si="8"/>
      </c>
      <c r="AK29" s="316">
        <f t="shared" si="9"/>
      </c>
    </row>
    <row r="30" spans="1:37" s="33" customFormat="1" ht="15.75">
      <c r="A30" s="36" t="s">
        <v>184</v>
      </c>
      <c r="B30" s="36"/>
      <c r="C30" s="36"/>
      <c r="D30" s="36"/>
      <c r="E30" s="36"/>
      <c r="F30" s="36"/>
      <c r="G30" s="75" t="s">
        <v>108</v>
      </c>
      <c r="O30" s="380"/>
      <c r="P30" s="312">
        <f t="shared" si="10"/>
        <v>0.0019515416815186017</v>
      </c>
      <c r="Q30" s="247">
        <v>29</v>
      </c>
      <c r="R30" s="299">
        <v>0.029</v>
      </c>
      <c r="S30" s="250">
        <v>1.2</v>
      </c>
      <c r="U30" s="310"/>
      <c r="AA30" s="316">
        <f t="shared" si="0"/>
      </c>
      <c r="AB30" s="316">
        <f t="shared" si="1"/>
      </c>
      <c r="AC30" s="316">
        <f t="shared" si="2"/>
      </c>
      <c r="AD30" s="316">
        <f t="shared" si="3"/>
      </c>
      <c r="AE30" s="316">
        <f t="shared" si="4"/>
      </c>
      <c r="AG30" s="316">
        <f t="shared" si="5"/>
      </c>
      <c r="AH30" s="316">
        <f t="shared" si="6"/>
      </c>
      <c r="AI30" s="316">
        <f t="shared" si="7"/>
      </c>
      <c r="AJ30" s="316">
        <f t="shared" si="8"/>
      </c>
      <c r="AK30" s="316">
        <f t="shared" si="9"/>
      </c>
    </row>
    <row r="31" spans="1:37" s="33" customFormat="1" ht="15">
      <c r="A31" s="34"/>
      <c r="B31" s="34"/>
      <c r="C31" s="34"/>
      <c r="D31" s="34"/>
      <c r="E31" s="34"/>
      <c r="F31" s="34"/>
      <c r="H31" s="34"/>
      <c r="I31" s="34"/>
      <c r="J31" s="34"/>
      <c r="K31" s="34"/>
      <c r="L31" s="34"/>
      <c r="O31" s="380"/>
      <c r="P31" s="312">
        <f t="shared" si="10"/>
        <v>0.0019987039388219678</v>
      </c>
      <c r="Q31" s="247">
        <v>30</v>
      </c>
      <c r="R31" s="299">
        <v>0.029</v>
      </c>
      <c r="S31" s="250">
        <v>1.2</v>
      </c>
      <c r="U31" s="310"/>
      <c r="AA31" s="316">
        <f t="shared" si="0"/>
      </c>
      <c r="AB31" s="316">
        <f t="shared" si="1"/>
      </c>
      <c r="AC31" s="316">
        <f t="shared" si="2"/>
      </c>
      <c r="AD31" s="316">
        <f t="shared" si="3"/>
      </c>
      <c r="AE31" s="316">
        <f t="shared" si="4"/>
      </c>
      <c r="AG31" s="316">
        <f t="shared" si="5"/>
      </c>
      <c r="AH31" s="316">
        <f t="shared" si="6"/>
      </c>
      <c r="AI31" s="316">
        <f t="shared" si="7"/>
      </c>
      <c r="AJ31" s="316">
        <f t="shared" si="8"/>
      </c>
      <c r="AK31" s="316">
        <f t="shared" si="9"/>
      </c>
    </row>
    <row r="32" spans="1:37" s="59" customFormat="1" ht="15.75">
      <c r="A32" s="324" t="s">
        <v>288</v>
      </c>
      <c r="B32" s="324"/>
      <c r="C32" s="324"/>
      <c r="D32" s="324"/>
      <c r="E32" s="324"/>
      <c r="F32" s="324"/>
      <c r="G32" s="273">
        <f>F16</f>
        <v>74200</v>
      </c>
      <c r="H32" s="324"/>
      <c r="I32" s="324"/>
      <c r="J32" s="82"/>
      <c r="K32" s="82"/>
      <c r="L32" s="82"/>
      <c r="O32" s="380"/>
      <c r="P32" s="312">
        <f t="shared" si="10"/>
        <v>0.002047005950676832</v>
      </c>
      <c r="Q32" s="247">
        <v>31</v>
      </c>
      <c r="R32" s="299">
        <v>0.029</v>
      </c>
      <c r="S32" s="250">
        <v>1.2</v>
      </c>
      <c r="U32" s="310"/>
      <c r="AA32" s="316">
        <f t="shared" si="0"/>
      </c>
      <c r="AB32" s="316">
        <f t="shared" si="1"/>
      </c>
      <c r="AC32" s="316">
        <f t="shared" si="2"/>
      </c>
      <c r="AD32" s="316">
        <f t="shared" si="3"/>
      </c>
      <c r="AE32" s="316">
        <f t="shared" si="4"/>
      </c>
      <c r="AG32" s="316">
        <f t="shared" si="5"/>
      </c>
      <c r="AH32" s="316">
        <f t="shared" si="6"/>
      </c>
      <c r="AI32" s="316">
        <f t="shared" si="7"/>
      </c>
      <c r="AJ32" s="316">
        <f t="shared" si="8"/>
      </c>
      <c r="AK32" s="316">
        <f t="shared" si="9"/>
      </c>
    </row>
    <row r="33" spans="1:37" s="33" customFormat="1" ht="15.75">
      <c r="A33" s="46" t="s">
        <v>289</v>
      </c>
      <c r="B33" s="46"/>
      <c r="C33" s="46"/>
      <c r="D33" s="46"/>
      <c r="E33" s="46"/>
      <c r="F33" s="46"/>
      <c r="G33" s="325">
        <f>ROUND(G32*K19/100,0)</f>
        <v>6446</v>
      </c>
      <c r="H33" s="326">
        <f>K19</f>
        <v>8.68733153638814</v>
      </c>
      <c r="I33" s="46" t="s">
        <v>173</v>
      </c>
      <c r="J33" s="34"/>
      <c r="K33" s="34"/>
      <c r="L33" s="34"/>
      <c r="O33" s="380"/>
      <c r="P33" s="312">
        <f t="shared" si="10"/>
        <v>0.0020964752611515223</v>
      </c>
      <c r="Q33" s="247">
        <v>32</v>
      </c>
      <c r="R33" s="299">
        <v>0.029</v>
      </c>
      <c r="S33" s="250">
        <v>1.2</v>
      </c>
      <c r="U33" s="310"/>
      <c r="AA33" s="316">
        <f t="shared" si="0"/>
      </c>
      <c r="AB33" s="316">
        <f t="shared" si="1"/>
      </c>
      <c r="AC33" s="316">
        <f t="shared" si="2"/>
      </c>
      <c r="AD33" s="316">
        <f t="shared" si="3"/>
      </c>
      <c r="AE33" s="316">
        <f t="shared" si="4"/>
      </c>
      <c r="AG33" s="316">
        <f t="shared" si="5"/>
      </c>
      <c r="AH33" s="316">
        <f t="shared" si="6"/>
      </c>
      <c r="AI33" s="316">
        <f t="shared" si="7"/>
      </c>
      <c r="AJ33" s="316">
        <f t="shared" si="8"/>
      </c>
      <c r="AK33" s="316">
        <f t="shared" si="9"/>
      </c>
    </row>
    <row r="34" spans="1:37" s="33" customFormat="1" ht="15.75">
      <c r="A34" s="36" t="s">
        <v>290</v>
      </c>
      <c r="B34" s="46"/>
      <c r="C34" s="46"/>
      <c r="D34" s="46"/>
      <c r="E34" s="46"/>
      <c r="F34" s="46"/>
      <c r="G34" s="325">
        <f>J23</f>
        <v>67754</v>
      </c>
      <c r="H34" s="327"/>
      <c r="I34" s="46"/>
      <c r="J34" s="34"/>
      <c r="K34" s="34"/>
      <c r="L34" s="34"/>
      <c r="O34" s="380"/>
      <c r="P34" s="312">
        <f t="shared" si="10"/>
        <v>0.002147140079962684</v>
      </c>
      <c r="Q34" s="247">
        <v>33</v>
      </c>
      <c r="R34" s="299">
        <v>0.029</v>
      </c>
      <c r="S34" s="250">
        <v>1.2</v>
      </c>
      <c r="U34" s="310"/>
      <c r="AA34" s="316">
        <f aca="true" t="shared" si="11" ref="AA34:AA65">IF(P34&gt;=$F$17,IF(P34&lt;$F$18,R34,""),"")</f>
      </c>
      <c r="AB34" s="316">
        <f aca="true" t="shared" si="12" ref="AB34:AB65">IF(P34&gt;=$G$17,IF(P34&lt;$G$18,R34,""),"")</f>
      </c>
      <c r="AC34" s="316">
        <f aca="true" t="shared" si="13" ref="AC34:AC65">IF(P34&gt;=$H$17,IF(P34&lt;$H$18,R34,""),"")</f>
      </c>
      <c r="AD34" s="316">
        <f aca="true" t="shared" si="14" ref="AD34:AD65">IF(P34&gt;=$I$17,IF(P34&lt;$I$18,R34,""),"")</f>
      </c>
      <c r="AE34" s="316">
        <f aca="true" t="shared" si="15" ref="AE34:AE65">IF(P34&gt;=$J$17,IF(P34&lt;$J$18,R34,""),"")</f>
      </c>
      <c r="AG34" s="316">
        <f aca="true" t="shared" si="16" ref="AG34:AG66">IF(P34&gt;=$F$17,IF(P34&lt;$F$18,S34,""),"")</f>
      </c>
      <c r="AH34" s="316">
        <f aca="true" t="shared" si="17" ref="AH34:AH66">IF(P34&gt;=$G$17,IF(P34&lt;$G$18,S34,""),"")</f>
      </c>
      <c r="AI34" s="316">
        <f aca="true" t="shared" si="18" ref="AI34:AI66">IF(P34&gt;=$H$17,IF(P34&lt;$H$18,S34,""),"")</f>
      </c>
      <c r="AJ34" s="316">
        <f aca="true" t="shared" si="19" ref="AJ34:AJ66">IF(P34&gt;=$I$17,IF(P34&lt;$I$18,S34,""),"")</f>
      </c>
      <c r="AK34" s="316">
        <f aca="true" t="shared" si="20" ref="AK34:AK66">IF(P34&gt;=$J$17,IF(P34&lt;$J$18,S34,""),"")</f>
      </c>
    </row>
    <row r="35" spans="1:37" ht="15.75">
      <c r="A35" s="324" t="s">
        <v>345</v>
      </c>
      <c r="B35" s="324"/>
      <c r="C35" s="324"/>
      <c r="D35" s="324"/>
      <c r="E35" s="324"/>
      <c r="F35" s="324"/>
      <c r="G35" s="127">
        <v>10</v>
      </c>
      <c r="H35" s="324"/>
      <c r="I35" s="324"/>
      <c r="J35" s="52"/>
      <c r="K35" s="52"/>
      <c r="L35" s="52"/>
      <c r="P35" s="312">
        <f t="shared" si="10"/>
        <v>0.0021990292985617824</v>
      </c>
      <c r="Q35" s="247">
        <v>34</v>
      </c>
      <c r="R35" s="299">
        <v>0.029</v>
      </c>
      <c r="S35" s="250">
        <v>1.2</v>
      </c>
      <c r="U35" s="310"/>
      <c r="AA35" s="316">
        <f t="shared" si="11"/>
      </c>
      <c r="AB35" s="316">
        <f t="shared" si="12"/>
      </c>
      <c r="AC35" s="316">
        <f t="shared" si="13"/>
      </c>
      <c r="AD35" s="316">
        <f t="shared" si="14"/>
      </c>
      <c r="AE35" s="316">
        <f t="shared" si="15"/>
      </c>
      <c r="AG35" s="316">
        <f t="shared" si="16"/>
      </c>
      <c r="AH35" s="316">
        <f t="shared" si="17"/>
      </c>
      <c r="AI35" s="316">
        <f t="shared" si="18"/>
      </c>
      <c r="AJ35" s="316">
        <f t="shared" si="19"/>
      </c>
      <c r="AK35" s="316">
        <f t="shared" si="20"/>
      </c>
    </row>
    <row r="36" spans="1:37" ht="15.75">
      <c r="A36" s="46" t="s">
        <v>129</v>
      </c>
      <c r="B36" s="46"/>
      <c r="C36" s="46"/>
      <c r="D36" s="46"/>
      <c r="E36" s="46"/>
      <c r="F36" s="46"/>
      <c r="G36" s="325">
        <f>F21+G21+H21+I21+J21+G35</f>
        <v>412</v>
      </c>
      <c r="H36" s="324"/>
      <c r="I36" s="324"/>
      <c r="J36" s="54"/>
      <c r="K36" s="54"/>
      <c r="L36" s="54"/>
      <c r="M36" s="145"/>
      <c r="N36" s="145"/>
      <c r="P36" s="312">
        <f t="shared" si="10"/>
        <v>0.002252172506610359</v>
      </c>
      <c r="Q36" s="247">
        <v>35</v>
      </c>
      <c r="R36" s="299">
        <v>0.029</v>
      </c>
      <c r="S36" s="250">
        <v>1.2</v>
      </c>
      <c r="U36" s="310"/>
      <c r="AA36" s="316">
        <f t="shared" si="11"/>
      </c>
      <c r="AB36" s="316">
        <f t="shared" si="12"/>
      </c>
      <c r="AC36" s="316">
        <f t="shared" si="13"/>
      </c>
      <c r="AD36" s="316">
        <f t="shared" si="14"/>
      </c>
      <c r="AE36" s="316">
        <f t="shared" si="15"/>
      </c>
      <c r="AG36" s="316">
        <f t="shared" si="16"/>
      </c>
      <c r="AH36" s="316">
        <f t="shared" si="17"/>
      </c>
      <c r="AI36" s="316">
        <f t="shared" si="18"/>
      </c>
      <c r="AJ36" s="316">
        <f t="shared" si="19"/>
      </c>
      <c r="AK36" s="316">
        <f t="shared" si="20"/>
      </c>
    </row>
    <row r="37" spans="1:37" s="145" customFormat="1" ht="15.75">
      <c r="A37" s="324" t="s">
        <v>229</v>
      </c>
      <c r="B37" s="324"/>
      <c r="C37" s="324"/>
      <c r="D37" s="324"/>
      <c r="E37" s="324"/>
      <c r="F37" s="324"/>
      <c r="G37" s="277">
        <f>365/G36</f>
        <v>0.8859223300970874</v>
      </c>
      <c r="H37" s="324"/>
      <c r="I37" s="58"/>
      <c r="O37" s="227"/>
      <c r="P37" s="312">
        <f t="shared" si="10"/>
        <v>0.0023066000088534425</v>
      </c>
      <c r="Q37" s="247">
        <v>36</v>
      </c>
      <c r="R37" s="299">
        <v>0.029</v>
      </c>
      <c r="S37" s="250">
        <v>1.2</v>
      </c>
      <c r="U37" s="310"/>
      <c r="AA37" s="316">
        <f t="shared" si="11"/>
      </c>
      <c r="AB37" s="316">
        <f t="shared" si="12"/>
      </c>
      <c r="AC37" s="316">
        <f t="shared" si="13"/>
      </c>
      <c r="AD37" s="316">
        <f t="shared" si="14"/>
      </c>
      <c r="AE37" s="316">
        <f t="shared" si="15"/>
      </c>
      <c r="AG37" s="316">
        <f t="shared" si="16"/>
      </c>
      <c r="AH37" s="316">
        <f t="shared" si="17"/>
      </c>
      <c r="AI37" s="316">
        <f t="shared" si="18"/>
      </c>
      <c r="AJ37" s="316">
        <f t="shared" si="19"/>
      </c>
      <c r="AK37" s="316">
        <f t="shared" si="20"/>
      </c>
    </row>
    <row r="38" spans="1:37" s="145" customFormat="1" ht="15" customHeight="1">
      <c r="A38" s="324" t="s">
        <v>350</v>
      </c>
      <c r="B38" s="324"/>
      <c r="C38" s="324"/>
      <c r="D38" s="324"/>
      <c r="E38" s="324"/>
      <c r="F38" s="324"/>
      <c r="G38" s="328">
        <f>(G34*J18)*G37</f>
        <v>120049.56310679612</v>
      </c>
      <c r="H38" s="466">
        <f>IF(G38&gt;130000,"The stocking level in this system is above optimal capacity",IF(G38&lt;100000,"The stocking level in this system is below optimal capacity",""))</f>
      </c>
      <c r="I38" s="466"/>
      <c r="J38" s="466"/>
      <c r="K38" s="466"/>
      <c r="O38" s="227"/>
      <c r="P38" s="312">
        <f t="shared" si="10"/>
        <v>0.002362342842400734</v>
      </c>
      <c r="Q38" s="247">
        <v>37</v>
      </c>
      <c r="R38" s="299">
        <v>0.029</v>
      </c>
      <c r="S38" s="250">
        <v>1.2</v>
      </c>
      <c r="U38" s="310"/>
      <c r="AA38" s="316">
        <f t="shared" si="11"/>
      </c>
      <c r="AB38" s="316">
        <f t="shared" si="12"/>
      </c>
      <c r="AC38" s="316">
        <f t="shared" si="13"/>
      </c>
      <c r="AD38" s="316">
        <f t="shared" si="14"/>
      </c>
      <c r="AE38" s="316">
        <f t="shared" si="15"/>
      </c>
      <c r="AG38" s="316">
        <f t="shared" si="16"/>
      </c>
      <c r="AH38" s="316">
        <f t="shared" si="17"/>
      </c>
      <c r="AI38" s="316">
        <f t="shared" si="18"/>
      </c>
      <c r="AJ38" s="316">
        <f t="shared" si="19"/>
      </c>
      <c r="AK38" s="316">
        <f t="shared" si="20"/>
      </c>
    </row>
    <row r="39" spans="8:37" ht="15">
      <c r="H39" s="466"/>
      <c r="I39" s="466"/>
      <c r="J39" s="466"/>
      <c r="K39" s="466"/>
      <c r="P39" s="312">
        <f t="shared" si="10"/>
        <v>0.0024194327944254187</v>
      </c>
      <c r="Q39" s="247">
        <v>38</v>
      </c>
      <c r="R39" s="299">
        <v>0.029</v>
      </c>
      <c r="S39" s="250">
        <v>1.2</v>
      </c>
      <c r="U39" s="310"/>
      <c r="AA39" s="316">
        <f t="shared" si="11"/>
      </c>
      <c r="AB39" s="316">
        <f t="shared" si="12"/>
      </c>
      <c r="AC39" s="316">
        <f t="shared" si="13"/>
      </c>
      <c r="AD39" s="316">
        <f t="shared" si="14"/>
      </c>
      <c r="AE39" s="316">
        <f t="shared" si="15"/>
      </c>
      <c r="AG39" s="316">
        <f t="shared" si="16"/>
      </c>
      <c r="AH39" s="316">
        <f t="shared" si="17"/>
      </c>
      <c r="AI39" s="316">
        <f t="shared" si="18"/>
      </c>
      <c r="AJ39" s="316">
        <f t="shared" si="19"/>
      </c>
      <c r="AK39" s="316">
        <f t="shared" si="20"/>
      </c>
    </row>
    <row r="40" spans="1:37" s="33" customFormat="1" ht="15.75">
      <c r="A40" s="36" t="s">
        <v>177</v>
      </c>
      <c r="B40" s="36"/>
      <c r="C40" s="36"/>
      <c r="D40" s="36"/>
      <c r="E40" s="36"/>
      <c r="F40" s="36"/>
      <c r="G40" s="36"/>
      <c r="O40" s="380"/>
      <c r="P40" s="312">
        <f t="shared" si="10"/>
        <v>0.0024779024202906995</v>
      </c>
      <c r="Q40" s="247">
        <v>39</v>
      </c>
      <c r="R40" s="299">
        <v>0.029</v>
      </c>
      <c r="S40" s="250">
        <v>1.2</v>
      </c>
      <c r="U40" s="310"/>
      <c r="AA40" s="316">
        <f t="shared" si="11"/>
      </c>
      <c r="AB40" s="316">
        <f t="shared" si="12"/>
      </c>
      <c r="AC40" s="316">
        <f t="shared" si="13"/>
      </c>
      <c r="AD40" s="316">
        <f t="shared" si="14"/>
      </c>
      <c r="AE40" s="316">
        <f t="shared" si="15"/>
      </c>
      <c r="AG40" s="316">
        <f t="shared" si="16"/>
      </c>
      <c r="AH40" s="316">
        <f t="shared" si="17"/>
      </c>
      <c r="AI40" s="316">
        <f t="shared" si="18"/>
      </c>
      <c r="AJ40" s="316">
        <f t="shared" si="19"/>
      </c>
      <c r="AK40" s="316">
        <f t="shared" si="20"/>
      </c>
    </row>
    <row r="41" spans="1:37" s="33" customFormat="1" ht="16.5" thickBot="1">
      <c r="A41" s="34"/>
      <c r="B41" s="34"/>
      <c r="C41" s="34"/>
      <c r="D41" s="34"/>
      <c r="E41" s="53"/>
      <c r="F41" s="53"/>
      <c r="G41" s="53"/>
      <c r="H41" s="254" t="s">
        <v>349</v>
      </c>
      <c r="I41" s="138"/>
      <c r="J41" s="138"/>
      <c r="K41" s="138"/>
      <c r="L41" s="34"/>
      <c r="O41" s="380"/>
      <c r="P41" s="312">
        <f t="shared" si="10"/>
        <v>0.0025377850621143916</v>
      </c>
      <c r="Q41" s="247">
        <v>40</v>
      </c>
      <c r="R41" s="299">
        <v>0.029</v>
      </c>
      <c r="S41" s="250">
        <v>1.2</v>
      </c>
      <c r="U41" s="310"/>
      <c r="AA41" s="316">
        <f t="shared" si="11"/>
      </c>
      <c r="AB41" s="316">
        <f t="shared" si="12"/>
      </c>
      <c r="AC41" s="316">
        <f t="shared" si="13"/>
      </c>
      <c r="AD41" s="316">
        <f t="shared" si="14"/>
      </c>
      <c r="AE41" s="316">
        <f t="shared" si="15"/>
      </c>
      <c r="AG41" s="316">
        <f t="shared" si="16"/>
      </c>
      <c r="AH41" s="316">
        <f t="shared" si="17"/>
      </c>
      <c r="AI41" s="316">
        <f t="shared" si="18"/>
      </c>
      <c r="AJ41" s="316">
        <f t="shared" si="19"/>
      </c>
      <c r="AK41" s="316">
        <f t="shared" si="20"/>
      </c>
    </row>
    <row r="42" spans="1:37" ht="15.75">
      <c r="A42" s="34"/>
      <c r="B42" s="34"/>
      <c r="C42" s="34"/>
      <c r="D42" s="34"/>
      <c r="F42" s="86" t="s">
        <v>171</v>
      </c>
      <c r="G42" s="86" t="s">
        <v>291</v>
      </c>
      <c r="H42" s="85" t="s">
        <v>107</v>
      </c>
      <c r="I42" s="85"/>
      <c r="J42" s="137"/>
      <c r="K42" s="137"/>
      <c r="L42" s="52"/>
      <c r="P42" s="312">
        <f t="shared" si="10"/>
        <v>0.002599114867782156</v>
      </c>
      <c r="Q42" s="247">
        <v>41</v>
      </c>
      <c r="R42" s="299">
        <v>0.029</v>
      </c>
      <c r="S42" s="250">
        <v>1.2</v>
      </c>
      <c r="U42" s="310"/>
      <c r="AA42" s="316">
        <f t="shared" si="11"/>
      </c>
      <c r="AB42" s="316">
        <f t="shared" si="12"/>
      </c>
      <c r="AC42" s="316">
        <f t="shared" si="13"/>
      </c>
      <c r="AD42" s="316">
        <f t="shared" si="14"/>
      </c>
      <c r="AE42" s="316">
        <f t="shared" si="15"/>
      </c>
      <c r="AG42" s="316">
        <f t="shared" si="16"/>
      </c>
      <c r="AH42" s="316">
        <f t="shared" si="17"/>
      </c>
      <c r="AI42" s="316">
        <f t="shared" si="18"/>
      </c>
      <c r="AJ42" s="316">
        <f t="shared" si="19"/>
      </c>
      <c r="AK42" s="316">
        <f t="shared" si="20"/>
      </c>
    </row>
    <row r="43" spans="1:37" ht="15.75">
      <c r="A43" s="139" t="s">
        <v>282</v>
      </c>
      <c r="B43" s="54"/>
      <c r="C43" s="54"/>
      <c r="D43" s="52"/>
      <c r="F43" s="116">
        <f>F22</f>
        <v>0.888</v>
      </c>
      <c r="G43" s="252">
        <f>F25</f>
        <v>0.026640000000000004</v>
      </c>
      <c r="H43" s="204">
        <v>2680</v>
      </c>
      <c r="I43" s="113"/>
      <c r="J43" s="113"/>
      <c r="K43" s="52"/>
      <c r="L43" s="52"/>
      <c r="M43" s="49"/>
      <c r="P43" s="312">
        <f t="shared" si="10"/>
        <v>0.0026619268104202246</v>
      </c>
      <c r="Q43" s="247">
        <v>42</v>
      </c>
      <c r="R43" s="299">
        <v>0.029</v>
      </c>
      <c r="S43" s="250">
        <v>1.2</v>
      </c>
      <c r="U43" s="310"/>
      <c r="AA43" s="316">
        <f t="shared" si="11"/>
      </c>
      <c r="AB43" s="316">
        <f t="shared" si="12"/>
      </c>
      <c r="AC43" s="316">
        <f t="shared" si="13"/>
      </c>
      <c r="AD43" s="316">
        <f t="shared" si="14"/>
      </c>
      <c r="AE43" s="316">
        <f t="shared" si="15"/>
      </c>
      <c r="AG43" s="316">
        <f t="shared" si="16"/>
      </c>
      <c r="AH43" s="316">
        <f t="shared" si="17"/>
      </c>
      <c r="AI43" s="316">
        <f t="shared" si="18"/>
      </c>
      <c r="AJ43" s="316">
        <f t="shared" si="19"/>
      </c>
      <c r="AK43" s="316">
        <f t="shared" si="20"/>
      </c>
    </row>
    <row r="44" spans="1:37" ht="15.75">
      <c r="A44" s="135" t="s">
        <v>283</v>
      </c>
      <c r="B44" s="54"/>
      <c r="C44" s="54"/>
      <c r="D44" s="52"/>
      <c r="F44" s="116">
        <f>G22</f>
        <v>0.924</v>
      </c>
      <c r="G44" s="252">
        <f>G25</f>
        <v>0.13860000000000003</v>
      </c>
      <c r="H44" s="204">
        <v>2600</v>
      </c>
      <c r="I44" s="113"/>
      <c r="J44" s="113"/>
      <c r="K44" s="52"/>
      <c r="L44" s="52"/>
      <c r="P44" s="312">
        <f t="shared" si="10"/>
        <v>0.0027262567083387135</v>
      </c>
      <c r="Q44" s="247">
        <v>43</v>
      </c>
      <c r="R44" s="299">
        <v>0.029</v>
      </c>
      <c r="S44" s="250">
        <v>1.2</v>
      </c>
      <c r="U44" s="310"/>
      <c r="AA44" s="316">
        <f t="shared" si="11"/>
      </c>
      <c r="AB44" s="316">
        <f t="shared" si="12"/>
      </c>
      <c r="AC44" s="316">
        <f t="shared" si="13"/>
      </c>
      <c r="AD44" s="316">
        <f t="shared" si="14"/>
      </c>
      <c r="AE44" s="316">
        <f t="shared" si="15"/>
      </c>
      <c r="AG44" s="316">
        <f t="shared" si="16"/>
      </c>
      <c r="AH44" s="316">
        <f t="shared" si="17"/>
      </c>
      <c r="AI44" s="316">
        <f t="shared" si="18"/>
      </c>
      <c r="AJ44" s="316">
        <f t="shared" si="19"/>
      </c>
      <c r="AK44" s="316">
        <f t="shared" si="20"/>
      </c>
    </row>
    <row r="45" spans="1:37" ht="15.75">
      <c r="A45" s="135" t="s">
        <v>284</v>
      </c>
      <c r="B45" s="54"/>
      <c r="C45" s="54"/>
      <c r="D45" s="52"/>
      <c r="F45" s="116">
        <f>H22</f>
        <v>0.984</v>
      </c>
      <c r="G45" s="252">
        <f>H25</f>
        <v>0.29519999999999996</v>
      </c>
      <c r="H45" s="204">
        <v>1985</v>
      </c>
      <c r="I45" s="113"/>
      <c r="J45" s="113"/>
      <c r="K45" s="52"/>
      <c r="L45" s="52"/>
      <c r="P45" s="312">
        <f t="shared" si="10"/>
        <v>0.002792141245456899</v>
      </c>
      <c r="Q45" s="247">
        <v>44</v>
      </c>
      <c r="R45" s="299">
        <v>0.029</v>
      </c>
      <c r="S45" s="250">
        <v>1.2</v>
      </c>
      <c r="U45" s="310"/>
      <c r="AA45" s="316">
        <f t="shared" si="11"/>
      </c>
      <c r="AB45" s="316">
        <f t="shared" si="12"/>
      </c>
      <c r="AC45" s="316">
        <f t="shared" si="13"/>
      </c>
      <c r="AD45" s="316">
        <f t="shared" si="14"/>
      </c>
      <c r="AE45" s="316">
        <f t="shared" si="15"/>
      </c>
      <c r="AG45" s="316">
        <f t="shared" si="16"/>
      </c>
      <c r="AH45" s="316">
        <f t="shared" si="17"/>
      </c>
      <c r="AI45" s="316">
        <f t="shared" si="18"/>
      </c>
      <c r="AJ45" s="316">
        <f t="shared" si="19"/>
      </c>
      <c r="AK45" s="316">
        <f t="shared" si="20"/>
      </c>
    </row>
    <row r="46" spans="1:37" ht="15.75">
      <c r="A46" s="135" t="s">
        <v>285</v>
      </c>
      <c r="B46" s="54"/>
      <c r="C46" s="54"/>
      <c r="D46" s="52"/>
      <c r="F46" s="246">
        <f>I22</f>
        <v>1.062</v>
      </c>
      <c r="G46" s="252">
        <f>I25</f>
        <v>0.531</v>
      </c>
      <c r="H46" s="204">
        <v>1825</v>
      </c>
      <c r="I46" s="113"/>
      <c r="J46" s="113"/>
      <c r="K46" s="52"/>
      <c r="L46" s="52"/>
      <c r="P46" s="312">
        <f t="shared" si="10"/>
        <v>0.0028596179922221075</v>
      </c>
      <c r="Q46" s="247">
        <v>45</v>
      </c>
      <c r="R46" s="299">
        <v>0.029</v>
      </c>
      <c r="S46" s="250">
        <v>1.2</v>
      </c>
      <c r="U46" s="310"/>
      <c r="AA46" s="316">
        <f t="shared" si="11"/>
      </c>
      <c r="AB46" s="316">
        <f t="shared" si="12"/>
      </c>
      <c r="AC46" s="316">
        <f t="shared" si="13"/>
      </c>
      <c r="AD46" s="316">
        <f t="shared" si="14"/>
      </c>
      <c r="AE46" s="316">
        <f t="shared" si="15"/>
      </c>
      <c r="AG46" s="316">
        <f t="shared" si="16"/>
      </c>
      <c r="AH46" s="316">
        <f t="shared" si="17"/>
      </c>
      <c r="AI46" s="316">
        <f t="shared" si="18"/>
      </c>
      <c r="AJ46" s="316">
        <f t="shared" si="19"/>
      </c>
      <c r="AK46" s="316">
        <f t="shared" si="20"/>
      </c>
    </row>
    <row r="47" spans="1:37" ht="15.75">
      <c r="A47" s="139" t="s">
        <v>343</v>
      </c>
      <c r="B47" s="54"/>
      <c r="C47" s="54"/>
      <c r="D47" s="52"/>
      <c r="F47" s="116">
        <f>J22</f>
        <v>1.2</v>
      </c>
      <c r="G47" s="252">
        <f>J25</f>
        <v>1.2</v>
      </c>
      <c r="H47" s="204">
        <v>1750</v>
      </c>
      <c r="I47" s="113"/>
      <c r="J47" s="113"/>
      <c r="K47" s="52"/>
      <c r="L47" s="52"/>
      <c r="P47" s="312">
        <f t="shared" si="10"/>
        <v>0.0029287254270341416</v>
      </c>
      <c r="Q47" s="247">
        <v>46</v>
      </c>
      <c r="R47" s="299">
        <v>0.029</v>
      </c>
      <c r="S47" s="250">
        <v>1.2</v>
      </c>
      <c r="U47" s="310"/>
      <c r="AA47" s="316">
        <f t="shared" si="11"/>
      </c>
      <c r="AB47" s="316">
        <f t="shared" si="12"/>
      </c>
      <c r="AC47" s="316">
        <f t="shared" si="13"/>
      </c>
      <c r="AD47" s="316">
        <f t="shared" si="14"/>
      </c>
      <c r="AE47" s="316">
        <f t="shared" si="15"/>
      </c>
      <c r="AG47" s="316">
        <f t="shared" si="16"/>
      </c>
      <c r="AH47" s="316">
        <f t="shared" si="17"/>
      </c>
      <c r="AI47" s="316">
        <f t="shared" si="18"/>
      </c>
      <c r="AJ47" s="316">
        <f t="shared" si="19"/>
      </c>
      <c r="AK47" s="316">
        <f t="shared" si="20"/>
      </c>
    </row>
    <row r="48" spans="2:37" ht="15">
      <c r="B48" s="89" t="s">
        <v>172</v>
      </c>
      <c r="P48" s="312">
        <f t="shared" si="10"/>
        <v>0.0029995029581874667</v>
      </c>
      <c r="Q48" s="247">
        <v>47</v>
      </c>
      <c r="R48" s="299">
        <v>0.029</v>
      </c>
      <c r="S48" s="250">
        <v>1.2</v>
      </c>
      <c r="U48" s="310"/>
      <c r="AA48" s="316">
        <f t="shared" si="11"/>
      </c>
      <c r="AB48" s="316">
        <f t="shared" si="12"/>
      </c>
      <c r="AC48" s="316">
        <f t="shared" si="13"/>
      </c>
      <c r="AD48" s="316">
        <f t="shared" si="14"/>
      </c>
      <c r="AE48" s="316">
        <f t="shared" si="15"/>
      </c>
      <c r="AG48" s="316">
        <f t="shared" si="16"/>
      </c>
      <c r="AH48" s="316">
        <f t="shared" si="17"/>
      </c>
      <c r="AI48" s="316">
        <f t="shared" si="18"/>
      </c>
      <c r="AJ48" s="316">
        <f t="shared" si="19"/>
      </c>
      <c r="AK48" s="316">
        <f t="shared" si="20"/>
      </c>
    </row>
    <row r="49" spans="1:37" s="33" customFormat="1" ht="15">
      <c r="A49" s="50"/>
      <c r="O49" s="380"/>
      <c r="P49" s="312">
        <f t="shared" si="10"/>
        <v>0.0030719909463436637</v>
      </c>
      <c r="Q49" s="247">
        <v>48</v>
      </c>
      <c r="R49" s="299">
        <v>0.029</v>
      </c>
      <c r="S49" s="250">
        <v>1.2</v>
      </c>
      <c r="U49" s="310"/>
      <c r="AA49" s="316">
        <f t="shared" si="11"/>
      </c>
      <c r="AB49" s="316">
        <f t="shared" si="12"/>
      </c>
      <c r="AC49" s="316">
        <f t="shared" si="13"/>
      </c>
      <c r="AD49" s="316">
        <f t="shared" si="14"/>
      </c>
      <c r="AE49" s="316">
        <f t="shared" si="15"/>
      </c>
      <c r="AG49" s="316">
        <f t="shared" si="16"/>
      </c>
      <c r="AH49" s="316">
        <f t="shared" si="17"/>
      </c>
      <c r="AI49" s="316">
        <f t="shared" si="18"/>
      </c>
      <c r="AJ49" s="316">
        <f t="shared" si="19"/>
      </c>
      <c r="AK49" s="316">
        <f t="shared" si="20"/>
      </c>
    </row>
    <row r="50" spans="16:37" ht="15">
      <c r="P50" s="312">
        <f t="shared" si="10"/>
        <v>0.003146230727546969</v>
      </c>
      <c r="Q50" s="247">
        <v>49</v>
      </c>
      <c r="R50" s="299">
        <v>0.029</v>
      </c>
      <c r="S50" s="250">
        <v>1.2</v>
      </c>
      <c r="U50" s="310"/>
      <c r="AA50" s="316">
        <f t="shared" si="11"/>
      </c>
      <c r="AB50" s="316">
        <f t="shared" si="12"/>
      </c>
      <c r="AC50" s="316">
        <f t="shared" si="13"/>
      </c>
      <c r="AD50" s="316">
        <f t="shared" si="14"/>
      </c>
      <c r="AE50" s="316">
        <f t="shared" si="15"/>
      </c>
      <c r="AG50" s="316">
        <f t="shared" si="16"/>
      </c>
      <c r="AH50" s="316">
        <f t="shared" si="17"/>
      </c>
      <c r="AI50" s="316">
        <f t="shared" si="18"/>
      </c>
      <c r="AJ50" s="316">
        <f t="shared" si="19"/>
      </c>
      <c r="AK50" s="316">
        <f t="shared" si="20"/>
      </c>
    </row>
    <row r="51" spans="1:37" s="33" customFormat="1" ht="15.75">
      <c r="A51" s="36" t="s">
        <v>58</v>
      </c>
      <c r="B51" s="36"/>
      <c r="C51" s="36"/>
      <c r="D51" s="36"/>
      <c r="O51" s="380"/>
      <c r="P51" s="312">
        <f t="shared" si="10"/>
        <v>0.0032222646367960207</v>
      </c>
      <c r="Q51" s="247">
        <v>50</v>
      </c>
      <c r="R51" s="299">
        <v>0.03</v>
      </c>
      <c r="S51" s="250">
        <v>1.1</v>
      </c>
      <c r="U51" s="310"/>
      <c r="AA51" s="316">
        <f t="shared" si="11"/>
      </c>
      <c r="AB51" s="316">
        <f t="shared" si="12"/>
      </c>
      <c r="AC51" s="316">
        <f t="shared" si="13"/>
      </c>
      <c r="AD51" s="316">
        <f t="shared" si="14"/>
      </c>
      <c r="AE51" s="316">
        <f t="shared" si="15"/>
      </c>
      <c r="AG51" s="316">
        <f t="shared" si="16"/>
      </c>
      <c r="AH51" s="316">
        <f t="shared" si="17"/>
      </c>
      <c r="AI51" s="316">
        <f t="shared" si="18"/>
      </c>
      <c r="AJ51" s="316">
        <f t="shared" si="19"/>
      </c>
      <c r="AK51" s="316">
        <f t="shared" si="20"/>
      </c>
    </row>
    <row r="52" spans="1:37" s="33" customFormat="1" ht="15.75">
      <c r="A52" s="36"/>
      <c r="B52" s="36"/>
      <c r="C52" s="36"/>
      <c r="D52" s="36"/>
      <c r="O52" s="380"/>
      <c r="P52" s="312">
        <f t="shared" si="10"/>
        <v>0.003310144581435912</v>
      </c>
      <c r="Q52" s="247">
        <v>51</v>
      </c>
      <c r="R52" s="299">
        <v>0.03</v>
      </c>
      <c r="S52" s="250">
        <v>1.1</v>
      </c>
      <c r="U52" s="310"/>
      <c r="AA52" s="316">
        <f t="shared" si="11"/>
      </c>
      <c r="AB52" s="316">
        <f t="shared" si="12"/>
      </c>
      <c r="AC52" s="316">
        <f t="shared" si="13"/>
      </c>
      <c r="AD52" s="316">
        <f t="shared" si="14"/>
      </c>
      <c r="AE52" s="316">
        <f t="shared" si="15"/>
      </c>
      <c r="AG52" s="316">
        <f t="shared" si="16"/>
      </c>
      <c r="AH52" s="316">
        <f t="shared" si="17"/>
      </c>
      <c r="AI52" s="316">
        <f t="shared" si="18"/>
      </c>
      <c r="AJ52" s="316">
        <f t="shared" si="19"/>
      </c>
      <c r="AK52" s="316">
        <f t="shared" si="20"/>
      </c>
    </row>
    <row r="53" spans="1:37" s="33" customFormat="1" ht="15.75">
      <c r="A53" s="34" t="s">
        <v>0</v>
      </c>
      <c r="B53" s="34"/>
      <c r="C53" s="34"/>
      <c r="D53" s="34"/>
      <c r="E53" s="34"/>
      <c r="F53" s="34"/>
      <c r="G53" s="129">
        <v>40</v>
      </c>
      <c r="H53" s="52" t="s">
        <v>2</v>
      </c>
      <c r="I53" s="115">
        <f>G53*52</f>
        <v>2080</v>
      </c>
      <c r="J53" s="34" t="s">
        <v>1</v>
      </c>
      <c r="L53" s="34"/>
      <c r="O53" s="380"/>
      <c r="P53" s="312">
        <f t="shared" si="10"/>
        <v>0.00340042125183871</v>
      </c>
      <c r="Q53" s="247">
        <v>52</v>
      </c>
      <c r="R53" s="299">
        <v>0.03</v>
      </c>
      <c r="S53" s="250">
        <v>1.1</v>
      </c>
      <c r="AA53" s="316">
        <f t="shared" si="11"/>
      </c>
      <c r="AB53" s="316">
        <f t="shared" si="12"/>
      </c>
      <c r="AC53" s="316">
        <f t="shared" si="13"/>
      </c>
      <c r="AD53" s="316">
        <f t="shared" si="14"/>
      </c>
      <c r="AE53" s="316">
        <f t="shared" si="15"/>
      </c>
      <c r="AG53" s="316">
        <f t="shared" si="16"/>
      </c>
      <c r="AH53" s="316">
        <f t="shared" si="17"/>
      </c>
      <c r="AI53" s="316">
        <f t="shared" si="18"/>
      </c>
      <c r="AJ53" s="316">
        <f t="shared" si="19"/>
      </c>
      <c r="AK53" s="316">
        <f t="shared" si="20"/>
      </c>
    </row>
    <row r="54" spans="1:37" ht="15.75">
      <c r="A54" s="223" t="s">
        <v>437</v>
      </c>
      <c r="B54" s="52"/>
      <c r="C54" s="52"/>
      <c r="D54" s="52"/>
      <c r="E54" s="52"/>
      <c r="F54" s="52"/>
      <c r="G54" s="190">
        <v>20</v>
      </c>
      <c r="H54" s="223" t="s">
        <v>114</v>
      </c>
      <c r="I54" s="52"/>
      <c r="J54" s="349"/>
      <c r="K54" s="52"/>
      <c r="L54" s="52"/>
      <c r="P54" s="312">
        <f t="shared" si="10"/>
        <v>0.0034931600132524928</v>
      </c>
      <c r="Q54" s="247">
        <v>53</v>
      </c>
      <c r="R54" s="299">
        <v>0.03</v>
      </c>
      <c r="S54" s="250">
        <v>1.1</v>
      </c>
      <c r="AA54" s="316">
        <f t="shared" si="11"/>
      </c>
      <c r="AB54" s="316">
        <f t="shared" si="12"/>
      </c>
      <c r="AC54" s="316">
        <f t="shared" si="13"/>
      </c>
      <c r="AD54" s="316">
        <f t="shared" si="14"/>
      </c>
      <c r="AE54" s="316">
        <f t="shared" si="15"/>
      </c>
      <c r="AG54" s="316">
        <f t="shared" si="16"/>
      </c>
      <c r="AH54" s="316">
        <f t="shared" si="17"/>
      </c>
      <c r="AI54" s="316">
        <f t="shared" si="18"/>
      </c>
      <c r="AJ54" s="316">
        <f t="shared" si="19"/>
      </c>
      <c r="AK54" s="316">
        <f t="shared" si="20"/>
      </c>
    </row>
    <row r="55" spans="16:37" ht="15">
      <c r="P55" s="312">
        <f t="shared" si="10"/>
        <v>0.0035884280136139245</v>
      </c>
      <c r="Q55" s="247">
        <v>54</v>
      </c>
      <c r="R55" s="299">
        <v>0.03</v>
      </c>
      <c r="S55" s="250">
        <v>1.1</v>
      </c>
      <c r="AA55" s="316">
        <f t="shared" si="11"/>
      </c>
      <c r="AB55" s="316">
        <f t="shared" si="12"/>
      </c>
      <c r="AC55" s="316">
        <f t="shared" si="13"/>
      </c>
      <c r="AD55" s="316">
        <f t="shared" si="14"/>
      </c>
      <c r="AE55" s="316">
        <f t="shared" si="15"/>
      </c>
      <c r="AG55" s="316">
        <f t="shared" si="16"/>
      </c>
      <c r="AH55" s="316">
        <f t="shared" si="17"/>
      </c>
      <c r="AI55" s="316">
        <f t="shared" si="18"/>
      </c>
      <c r="AJ55" s="316">
        <f t="shared" si="19"/>
      </c>
      <c r="AK55" s="316">
        <f t="shared" si="20"/>
      </c>
    </row>
    <row r="56" spans="2:37" s="59" customFormat="1" ht="21">
      <c r="B56" s="58"/>
      <c r="C56" s="58"/>
      <c r="D56" s="58"/>
      <c r="E56" s="463" t="s">
        <v>218</v>
      </c>
      <c r="F56" s="464"/>
      <c r="G56" s="464"/>
      <c r="H56" s="465"/>
      <c r="O56" s="380"/>
      <c r="P56" s="312">
        <f t="shared" si="10"/>
        <v>0.0036862942321670314</v>
      </c>
      <c r="Q56" s="247">
        <v>55</v>
      </c>
      <c r="R56" s="299">
        <v>0.03</v>
      </c>
      <c r="S56" s="250">
        <v>1.1</v>
      </c>
      <c r="AA56" s="316">
        <f t="shared" si="11"/>
      </c>
      <c r="AB56" s="316">
        <f t="shared" si="12"/>
      </c>
      <c r="AC56" s="316">
        <f t="shared" si="13"/>
      </c>
      <c r="AD56" s="316">
        <f t="shared" si="14"/>
      </c>
      <c r="AE56" s="316">
        <f t="shared" si="15"/>
      </c>
      <c r="AG56" s="316">
        <f t="shared" si="16"/>
      </c>
      <c r="AH56" s="316">
        <f t="shared" si="17"/>
      </c>
      <c r="AI56" s="316">
        <f t="shared" si="18"/>
      </c>
      <c r="AJ56" s="316">
        <f t="shared" si="19"/>
      </c>
      <c r="AK56" s="316">
        <f t="shared" si="20"/>
      </c>
    </row>
    <row r="57" spans="2:37" s="33" customFormat="1" ht="18">
      <c r="B57" s="36"/>
      <c r="C57" s="36"/>
      <c r="D57" s="36"/>
      <c r="E57" s="76"/>
      <c r="F57" s="117"/>
      <c r="G57" s="117"/>
      <c r="O57" s="380"/>
      <c r="P57" s="312">
        <f t="shared" si="10"/>
        <v>0.0037868295294079504</v>
      </c>
      <c r="Q57" s="247">
        <v>56</v>
      </c>
      <c r="R57" s="299">
        <v>0.03</v>
      </c>
      <c r="S57" s="250">
        <v>1.1</v>
      </c>
      <c r="AA57" s="316">
        <f t="shared" si="11"/>
      </c>
      <c r="AB57" s="316">
        <f t="shared" si="12"/>
      </c>
      <c r="AC57" s="316">
        <f t="shared" si="13"/>
      </c>
      <c r="AD57" s="316">
        <f t="shared" si="14"/>
      </c>
      <c r="AE57" s="316">
        <f t="shared" si="15"/>
      </c>
      <c r="AG57" s="316">
        <f t="shared" si="16"/>
      </c>
      <c r="AH57" s="316">
        <f t="shared" si="17"/>
      </c>
      <c r="AI57" s="316">
        <f t="shared" si="18"/>
      </c>
      <c r="AJ57" s="316">
        <f t="shared" si="19"/>
      </c>
      <c r="AK57" s="316">
        <f t="shared" si="20"/>
      </c>
    </row>
    <row r="58" spans="1:37" s="33" customFormat="1" ht="15.75">
      <c r="A58" s="36"/>
      <c r="B58" s="36"/>
      <c r="C58" s="401">
        <f>G38</f>
        <v>120049.56310679612</v>
      </c>
      <c r="D58" s="36" t="s">
        <v>292</v>
      </c>
      <c r="E58" s="36"/>
      <c r="F58" s="36"/>
      <c r="G58" s="56"/>
      <c r="H58" s="36"/>
      <c r="O58" s="380"/>
      <c r="P58" s="312">
        <f t="shared" si="10"/>
        <v>0.0038901066983918035</v>
      </c>
      <c r="Q58" s="247">
        <v>57</v>
      </c>
      <c r="R58" s="299">
        <v>0.03</v>
      </c>
      <c r="S58" s="250">
        <v>1.1</v>
      </c>
      <c r="AA58" s="316">
        <f t="shared" si="11"/>
      </c>
      <c r="AB58" s="316">
        <f t="shared" si="12"/>
      </c>
      <c r="AC58" s="316">
        <f t="shared" si="13"/>
      </c>
      <c r="AD58" s="316">
        <f t="shared" si="14"/>
      </c>
      <c r="AE58" s="316">
        <f t="shared" si="15"/>
      </c>
      <c r="AG58" s="316">
        <f t="shared" si="16"/>
      </c>
      <c r="AH58" s="316">
        <f t="shared" si="17"/>
      </c>
      <c r="AI58" s="316">
        <f t="shared" si="18"/>
      </c>
      <c r="AJ58" s="316">
        <f t="shared" si="19"/>
      </c>
      <c r="AK58" s="316">
        <f t="shared" si="20"/>
      </c>
    </row>
    <row r="59" spans="1:37" s="33" customFormat="1" ht="15.75">
      <c r="A59" s="36"/>
      <c r="B59" s="36"/>
      <c r="C59" s="36"/>
      <c r="D59" s="36"/>
      <c r="E59" s="36"/>
      <c r="F59" s="36"/>
      <c r="G59" s="36"/>
      <c r="H59" s="36"/>
      <c r="I59" s="57"/>
      <c r="J59" s="57"/>
      <c r="K59" s="36"/>
      <c r="O59" s="380"/>
      <c r="P59" s="312">
        <f t="shared" si="10"/>
        <v>0.003996200517438852</v>
      </c>
      <c r="Q59" s="247">
        <v>58</v>
      </c>
      <c r="R59" s="299">
        <v>0.03</v>
      </c>
      <c r="S59" s="250">
        <v>1.1</v>
      </c>
      <c r="AA59" s="316">
        <f t="shared" si="11"/>
      </c>
      <c r="AB59" s="316">
        <f t="shared" si="12"/>
      </c>
      <c r="AC59" s="316">
        <f t="shared" si="13"/>
      </c>
      <c r="AD59" s="316">
        <f t="shared" si="14"/>
      </c>
      <c r="AE59" s="316">
        <f t="shared" si="15"/>
      </c>
      <c r="AG59" s="316">
        <f t="shared" si="16"/>
      </c>
      <c r="AH59" s="316">
        <f t="shared" si="17"/>
      </c>
      <c r="AI59" s="316">
        <f t="shared" si="18"/>
      </c>
      <c r="AJ59" s="316">
        <f t="shared" si="19"/>
      </c>
      <c r="AK59" s="316">
        <f t="shared" si="20"/>
      </c>
    </row>
    <row r="60" spans="1:37" ht="15.75">
      <c r="A60" s="33"/>
      <c r="B60" s="33"/>
      <c r="C60" s="33"/>
      <c r="D60" s="33"/>
      <c r="E60" s="35"/>
      <c r="F60" s="35"/>
      <c r="G60" s="86" t="s">
        <v>443</v>
      </c>
      <c r="H60" s="86" t="s">
        <v>293</v>
      </c>
      <c r="I60" s="395" t="s">
        <v>351</v>
      </c>
      <c r="J60" s="75"/>
      <c r="K60" s="77" t="s">
        <v>165</v>
      </c>
      <c r="P60" s="312">
        <f t="shared" si="10"/>
        <v>0.0041051878042780935</v>
      </c>
      <c r="Q60" s="247">
        <v>59</v>
      </c>
      <c r="R60" s="299">
        <v>0.03</v>
      </c>
      <c r="S60" s="250">
        <v>1.1</v>
      </c>
      <c r="AA60" s="316">
        <f t="shared" si="11"/>
      </c>
      <c r="AB60" s="316">
        <f t="shared" si="12"/>
      </c>
      <c r="AC60" s="316">
        <f t="shared" si="13"/>
      </c>
      <c r="AD60" s="316">
        <f t="shared" si="14"/>
      </c>
      <c r="AE60" s="316">
        <f t="shared" si="15"/>
      </c>
      <c r="AG60" s="316">
        <f t="shared" si="16"/>
      </c>
      <c r="AH60" s="316">
        <f t="shared" si="17"/>
      </c>
      <c r="AI60" s="316">
        <f t="shared" si="18"/>
      </c>
      <c r="AJ60" s="316">
        <f t="shared" si="19"/>
      </c>
      <c r="AK60" s="316">
        <f t="shared" si="20"/>
      </c>
    </row>
    <row r="61" spans="1:37" s="33" customFormat="1" ht="15.75">
      <c r="A61" s="58" t="s">
        <v>150</v>
      </c>
      <c r="B61" s="59"/>
      <c r="C61" s="59"/>
      <c r="H61" s="60" t="s">
        <v>4</v>
      </c>
      <c r="O61" s="380"/>
      <c r="P61" s="312">
        <f t="shared" si="10"/>
        <v>0.004217147471667496</v>
      </c>
      <c r="Q61" s="247">
        <v>60</v>
      </c>
      <c r="R61" s="299">
        <v>0.03</v>
      </c>
      <c r="S61" s="250">
        <v>1.1</v>
      </c>
      <c r="AA61" s="316">
        <f t="shared" si="11"/>
      </c>
      <c r="AB61" s="316">
        <f t="shared" si="12"/>
      </c>
      <c r="AC61" s="316">
        <f t="shared" si="13"/>
      </c>
      <c r="AD61" s="316">
        <f t="shared" si="14"/>
      </c>
      <c r="AE61" s="316">
        <f t="shared" si="15"/>
      </c>
      <c r="AG61" s="316">
        <f t="shared" si="16"/>
      </c>
      <c r="AH61" s="316">
        <f t="shared" si="17"/>
      </c>
      <c r="AI61" s="316">
        <f t="shared" si="18"/>
      </c>
      <c r="AJ61" s="316">
        <f t="shared" si="19"/>
      </c>
      <c r="AK61" s="316">
        <f t="shared" si="20"/>
      </c>
    </row>
    <row r="62" spans="1:37" ht="18">
      <c r="A62" s="33"/>
      <c r="B62" s="59" t="s">
        <v>196</v>
      </c>
      <c r="C62" s="59"/>
      <c r="D62" s="59"/>
      <c r="E62" s="231">
        <v>10000</v>
      </c>
      <c r="F62" s="266" t="s">
        <v>199</v>
      </c>
      <c r="G62" s="190">
        <v>27.5</v>
      </c>
      <c r="H62" s="261">
        <f>E62*G62</f>
        <v>275000</v>
      </c>
      <c r="I62" s="113">
        <f>H62/$C$58</f>
        <v>2.290720539777058</v>
      </c>
      <c r="J62" s="113"/>
      <c r="K62" s="61"/>
      <c r="P62" s="312">
        <f t="shared" si="10"/>
        <v>0.004332160584531155</v>
      </c>
      <c r="Q62" s="247">
        <v>61</v>
      </c>
      <c r="R62" s="299">
        <v>0.03</v>
      </c>
      <c r="S62" s="250">
        <v>1.1</v>
      </c>
      <c r="AA62" s="316">
        <f t="shared" si="11"/>
      </c>
      <c r="AB62" s="316">
        <f t="shared" si="12"/>
      </c>
      <c r="AC62" s="316">
        <f t="shared" si="13"/>
      </c>
      <c r="AD62" s="316">
        <f t="shared" si="14"/>
      </c>
      <c r="AE62" s="316">
        <f t="shared" si="15"/>
      </c>
      <c r="AG62" s="316">
        <f t="shared" si="16"/>
      </c>
      <c r="AH62" s="316">
        <f t="shared" si="17"/>
      </c>
      <c r="AI62" s="316">
        <f t="shared" si="18"/>
      </c>
      <c r="AJ62" s="316">
        <f t="shared" si="19"/>
      </c>
      <c r="AK62" s="316">
        <f t="shared" si="20"/>
      </c>
    </row>
    <row r="63" spans="2:37" ht="18">
      <c r="B63" s="145" t="s">
        <v>221</v>
      </c>
      <c r="C63" s="145"/>
      <c r="D63" s="145"/>
      <c r="E63" s="231">
        <v>2000</v>
      </c>
      <c r="F63" s="266" t="s">
        <v>199</v>
      </c>
      <c r="G63" s="396">
        <v>27.5</v>
      </c>
      <c r="H63" s="261">
        <f>E63*G63</f>
        <v>55000</v>
      </c>
      <c r="I63" s="113">
        <f>H63/$C$58</f>
        <v>0.4581441079554116</v>
      </c>
      <c r="J63" s="113"/>
      <c r="K63" s="64"/>
      <c r="P63" s="312">
        <f t="shared" si="10"/>
        <v>0.004450310418654732</v>
      </c>
      <c r="Q63" s="247">
        <v>62</v>
      </c>
      <c r="R63" s="299">
        <v>0.03</v>
      </c>
      <c r="S63" s="250">
        <v>1.1</v>
      </c>
      <c r="AA63" s="316">
        <f t="shared" si="11"/>
      </c>
      <c r="AB63" s="316">
        <f t="shared" si="12"/>
      </c>
      <c r="AC63" s="316">
        <f t="shared" si="13"/>
      </c>
      <c r="AD63" s="316">
        <f t="shared" si="14"/>
      </c>
      <c r="AE63" s="316">
        <f t="shared" si="15"/>
      </c>
      <c r="AG63" s="316">
        <f t="shared" si="16"/>
      </c>
      <c r="AH63" s="316">
        <f t="shared" si="17"/>
      </c>
      <c r="AI63" s="316">
        <f t="shared" si="18"/>
      </c>
      <c r="AJ63" s="316">
        <f t="shared" si="19"/>
      </c>
      <c r="AK63" s="316">
        <f t="shared" si="20"/>
      </c>
    </row>
    <row r="64" spans="2:37" ht="15.75">
      <c r="B64" s="145" t="s">
        <v>158</v>
      </c>
      <c r="C64" s="145"/>
      <c r="D64" s="145"/>
      <c r="E64" s="262"/>
      <c r="F64" s="263"/>
      <c r="G64" s="145"/>
      <c r="H64" s="396">
        <v>25000</v>
      </c>
      <c r="I64" s="113">
        <f>H64/$C$58</f>
        <v>0.20824732179791436</v>
      </c>
      <c r="J64" s="113"/>
      <c r="K64" s="64"/>
      <c r="P64" s="312">
        <f t="shared" si="10"/>
        <v>0.004571682520981679</v>
      </c>
      <c r="Q64" s="247">
        <v>63</v>
      </c>
      <c r="R64" s="299">
        <v>0.03</v>
      </c>
      <c r="S64" s="250">
        <v>1.1</v>
      </c>
      <c r="AA64" s="316">
        <f t="shared" si="11"/>
      </c>
      <c r="AB64" s="316">
        <f t="shared" si="12"/>
      </c>
      <c r="AC64" s="316">
        <f t="shared" si="13"/>
      </c>
      <c r="AD64" s="316">
        <f t="shared" si="14"/>
      </c>
      <c r="AE64" s="316">
        <f t="shared" si="15"/>
      </c>
      <c r="AG64" s="316">
        <f t="shared" si="16"/>
      </c>
      <c r="AH64" s="316">
        <f t="shared" si="17"/>
      </c>
      <c r="AI64" s="316">
        <f t="shared" si="18"/>
      </c>
      <c r="AJ64" s="316">
        <f t="shared" si="19"/>
      </c>
      <c r="AK64" s="316">
        <f t="shared" si="20"/>
      </c>
    </row>
    <row r="65" spans="2:37" ht="15.75">
      <c r="B65" s="236" t="s">
        <v>336</v>
      </c>
      <c r="C65" s="145"/>
      <c r="D65" s="145"/>
      <c r="E65" s="264"/>
      <c r="F65" s="265"/>
      <c r="G65" s="145"/>
      <c r="H65" s="260">
        <v>200000</v>
      </c>
      <c r="I65" s="118">
        <f>H65/$C$58</f>
        <v>1.6659785743833149</v>
      </c>
      <c r="J65" s="119"/>
      <c r="K65" s="64"/>
      <c r="P65" s="312">
        <f t="shared" si="10"/>
        <v>0.004696364771553907</v>
      </c>
      <c r="Q65" s="247">
        <v>64</v>
      </c>
      <c r="R65" s="299">
        <v>0.03</v>
      </c>
      <c r="S65" s="250">
        <v>1.1</v>
      </c>
      <c r="AA65" s="316">
        <f t="shared" si="11"/>
      </c>
      <c r="AB65" s="316">
        <f t="shared" si="12"/>
      </c>
      <c r="AC65" s="316">
        <f t="shared" si="13"/>
      </c>
      <c r="AD65" s="316">
        <f t="shared" si="14"/>
      </c>
      <c r="AE65" s="316">
        <f t="shared" si="15"/>
      </c>
      <c r="AG65" s="316">
        <f t="shared" si="16"/>
      </c>
      <c r="AH65" s="316">
        <f t="shared" si="17"/>
      </c>
      <c r="AI65" s="316">
        <f t="shared" si="18"/>
      </c>
      <c r="AJ65" s="316">
        <f t="shared" si="19"/>
      </c>
      <c r="AK65" s="316">
        <f t="shared" si="20"/>
      </c>
    </row>
    <row r="66" spans="1:37" s="33" customFormat="1" ht="15.75">
      <c r="A66" s="50"/>
      <c r="B66" s="36" t="s">
        <v>157</v>
      </c>
      <c r="H66" s="120">
        <f>SUM(H62:H65)</f>
        <v>555000</v>
      </c>
      <c r="I66" s="121">
        <f>H66/C58</f>
        <v>4.6230905439136984</v>
      </c>
      <c r="J66" s="121"/>
      <c r="K66" s="65"/>
      <c r="O66" s="380"/>
      <c r="P66" s="312">
        <f t="shared" si="10"/>
        <v>0.004824447447141741</v>
      </c>
      <c r="Q66" s="247">
        <v>65</v>
      </c>
      <c r="R66" s="299">
        <v>0.03</v>
      </c>
      <c r="S66" s="250">
        <v>1.1</v>
      </c>
      <c r="AA66" s="316">
        <f aca="true" t="shared" si="21" ref="AA66:AA131">IF(P66&gt;=$F$17,IF(P66&lt;$F$18,R66,""),"")</f>
      </c>
      <c r="AB66" s="316">
        <f aca="true" t="shared" si="22" ref="AB66:AB131">IF(P66&gt;=$G$17,IF(P66&lt;$G$18,R66,""),"")</f>
      </c>
      <c r="AC66" s="316">
        <f aca="true" t="shared" si="23" ref="AC66:AC131">IF(P66&gt;=$H$17,IF(P66&lt;$H$18,R66,""),"")</f>
      </c>
      <c r="AD66" s="316">
        <f aca="true" t="shared" si="24" ref="AD66:AD131">IF(P66&gt;=$I$17,IF(P66&lt;$I$18,R66,""),"")</f>
      </c>
      <c r="AE66" s="316">
        <f aca="true" t="shared" si="25" ref="AE66:AE131">IF(P66&gt;=$J$17,IF(P66&lt;$J$18,R66,""),"")</f>
      </c>
      <c r="AG66" s="316">
        <f t="shared" si="16"/>
      </c>
      <c r="AH66" s="316">
        <f t="shared" si="17"/>
      </c>
      <c r="AI66" s="316">
        <f t="shared" si="18"/>
      </c>
      <c r="AJ66" s="316">
        <f t="shared" si="19"/>
      </c>
      <c r="AK66" s="316">
        <f t="shared" si="20"/>
      </c>
    </row>
    <row r="67" spans="8:37" s="33" customFormat="1" ht="15">
      <c r="H67" s="41" t="s">
        <v>4</v>
      </c>
      <c r="O67" s="380"/>
      <c r="P67" s="312">
        <f aca="true" t="shared" si="26" ref="P67:P132">P66+(P66*R66/S66)</f>
        <v>0.004956023286609243</v>
      </c>
      <c r="Q67" s="247">
        <v>66</v>
      </c>
      <c r="R67" s="299">
        <v>0.03</v>
      </c>
      <c r="S67" s="250">
        <v>1.1</v>
      </c>
      <c r="AA67" s="316">
        <f t="shared" si="21"/>
      </c>
      <c r="AB67" s="316">
        <f t="shared" si="22"/>
      </c>
      <c r="AC67" s="316">
        <f t="shared" si="23"/>
      </c>
      <c r="AD67" s="316">
        <f t="shared" si="24"/>
      </c>
      <c r="AE67" s="316">
        <f t="shared" si="25"/>
      </c>
      <c r="AG67" s="316">
        <f aca="true" t="shared" si="27" ref="AG67:AG132">IF(P67&gt;=$F$17,IF(P67&lt;$F$18,S67,""),"")</f>
      </c>
      <c r="AH67" s="316">
        <f aca="true" t="shared" si="28" ref="AH67:AH132">IF(P67&gt;=$G$17,IF(P67&lt;$G$18,S67,""),"")</f>
      </c>
      <c r="AI67" s="316">
        <f aca="true" t="shared" si="29" ref="AI67:AI132">IF(P67&gt;=$H$17,IF(P67&lt;$H$18,S67,""),"")</f>
      </c>
      <c r="AJ67" s="316">
        <f aca="true" t="shared" si="30" ref="AJ67:AJ132">IF(P67&gt;=$I$17,IF(P67&lt;$I$18,S67,""),"")</f>
      </c>
      <c r="AK67" s="316">
        <f aca="true" t="shared" si="31" ref="AK67:AK132">IF(P67&gt;=$J$17,IF(P67&lt;$J$18,S67,""),"")</f>
      </c>
    </row>
    <row r="68" spans="1:37" s="33" customFormat="1" ht="15.75">
      <c r="A68" s="58" t="s">
        <v>95</v>
      </c>
      <c r="B68" s="59"/>
      <c r="C68" s="59"/>
      <c r="H68" s="41" t="s">
        <v>4</v>
      </c>
      <c r="O68" s="380"/>
      <c r="P68" s="312">
        <f t="shared" si="26"/>
        <v>0.005091187558062222</v>
      </c>
      <c r="Q68" s="247">
        <v>67</v>
      </c>
      <c r="R68" s="299">
        <v>0.03</v>
      </c>
      <c r="S68" s="250">
        <v>1.1</v>
      </c>
      <c r="AA68" s="316">
        <f t="shared" si="21"/>
      </c>
      <c r="AB68" s="316">
        <f t="shared" si="22"/>
      </c>
      <c r="AC68" s="316">
        <f t="shared" si="23"/>
      </c>
      <c r="AD68" s="316">
        <f t="shared" si="24"/>
      </c>
      <c r="AE68" s="316">
        <f t="shared" si="25"/>
      </c>
      <c r="AG68" s="316">
        <f t="shared" si="27"/>
      </c>
      <c r="AH68" s="316">
        <f t="shared" si="28"/>
      </c>
      <c r="AI68" s="316">
        <f t="shared" si="29"/>
      </c>
      <c r="AJ68" s="316">
        <f t="shared" si="30"/>
      </c>
      <c r="AK68" s="316">
        <f t="shared" si="31"/>
      </c>
    </row>
    <row r="69" spans="1:37" ht="15.75">
      <c r="A69" s="33"/>
      <c r="B69" s="236" t="s">
        <v>439</v>
      </c>
      <c r="C69" s="59"/>
      <c r="D69" s="59"/>
      <c r="E69" s="59"/>
      <c r="F69" s="59"/>
      <c r="G69" s="55"/>
      <c r="H69" s="396">
        <v>450000</v>
      </c>
      <c r="I69" s="113">
        <f>H69/C58</f>
        <v>3.7484517923624585</v>
      </c>
      <c r="J69" s="113"/>
      <c r="K69" s="61"/>
      <c r="P69" s="312">
        <f t="shared" si="26"/>
        <v>0.005230038127827555</v>
      </c>
      <c r="Q69" s="247">
        <v>68</v>
      </c>
      <c r="R69" s="299">
        <v>0.03</v>
      </c>
      <c r="S69" s="250">
        <v>1.1</v>
      </c>
      <c r="AA69" s="316">
        <f t="shared" si="21"/>
      </c>
      <c r="AB69" s="316">
        <f t="shared" si="22"/>
      </c>
      <c r="AC69" s="316">
        <f t="shared" si="23"/>
      </c>
      <c r="AD69" s="316">
        <f t="shared" si="24"/>
      </c>
      <c r="AE69" s="316">
        <f t="shared" si="25"/>
      </c>
      <c r="AG69" s="316">
        <f t="shared" si="27"/>
      </c>
      <c r="AH69" s="316">
        <f t="shared" si="28"/>
      </c>
      <c r="AI69" s="316">
        <f t="shared" si="29"/>
      </c>
      <c r="AJ69" s="316">
        <f t="shared" si="30"/>
      </c>
      <c r="AK69" s="316">
        <f t="shared" si="31"/>
      </c>
    </row>
    <row r="70" spans="2:37" ht="15.75">
      <c r="B70" s="236" t="s">
        <v>353</v>
      </c>
      <c r="C70" s="145"/>
      <c r="D70" s="145"/>
      <c r="E70" s="262"/>
      <c r="F70" s="263"/>
      <c r="G70" s="145"/>
      <c r="H70" s="396">
        <v>2000</v>
      </c>
      <c r="I70" s="113">
        <f>H70/C58</f>
        <v>0.016659785743833148</v>
      </c>
      <c r="J70" s="113"/>
      <c r="K70" s="64"/>
      <c r="P70" s="312">
        <f t="shared" si="26"/>
        <v>0.005372675531313762</v>
      </c>
      <c r="Q70" s="247">
        <v>69</v>
      </c>
      <c r="R70" s="299">
        <v>0.03</v>
      </c>
      <c r="S70" s="250">
        <v>1.1</v>
      </c>
      <c r="AA70" s="316">
        <f t="shared" si="21"/>
      </c>
      <c r="AB70" s="316">
        <f t="shared" si="22"/>
      </c>
      <c r="AC70" s="316">
        <f t="shared" si="23"/>
      </c>
      <c r="AD70" s="316">
        <f t="shared" si="24"/>
      </c>
      <c r="AE70" s="316">
        <f t="shared" si="25"/>
      </c>
      <c r="AG70" s="316">
        <f t="shared" si="27"/>
      </c>
      <c r="AH70" s="316">
        <f t="shared" si="28"/>
      </c>
      <c r="AI70" s="316">
        <f t="shared" si="29"/>
      </c>
      <c r="AJ70" s="316">
        <f t="shared" si="30"/>
      </c>
      <c r="AK70" s="316">
        <f t="shared" si="31"/>
      </c>
    </row>
    <row r="71" spans="2:37" ht="15.75">
      <c r="B71" s="236" t="s">
        <v>352</v>
      </c>
      <c r="C71" s="145"/>
      <c r="D71" s="145"/>
      <c r="E71" s="264"/>
      <c r="F71" s="265"/>
      <c r="G71" s="145"/>
      <c r="H71" s="260">
        <v>60000</v>
      </c>
      <c r="I71" s="118">
        <f>H71/C58</f>
        <v>0.4997935723149945</v>
      </c>
      <c r="J71" s="119"/>
      <c r="K71" s="64"/>
      <c r="P71" s="312">
        <f t="shared" si="26"/>
        <v>0.005519203045804137</v>
      </c>
      <c r="Q71" s="247">
        <v>70</v>
      </c>
      <c r="R71" s="299">
        <v>0.03</v>
      </c>
      <c r="S71" s="250">
        <v>1.1</v>
      </c>
      <c r="AA71" s="316">
        <f t="shared" si="21"/>
      </c>
      <c r="AB71" s="316">
        <f t="shared" si="22"/>
      </c>
      <c r="AC71" s="316">
        <f t="shared" si="23"/>
      </c>
      <c r="AD71" s="316">
        <f t="shared" si="24"/>
      </c>
      <c r="AE71" s="316">
        <f t="shared" si="25"/>
      </c>
      <c r="AG71" s="316">
        <f t="shared" si="27"/>
      </c>
      <c r="AH71" s="316">
        <f t="shared" si="28"/>
      </c>
      <c r="AI71" s="316">
        <f t="shared" si="29"/>
      </c>
      <c r="AJ71" s="316">
        <f t="shared" si="30"/>
      </c>
      <c r="AK71" s="316">
        <f t="shared" si="31"/>
      </c>
    </row>
    <row r="72" spans="2:37" ht="15.75">
      <c r="B72" s="36" t="s">
        <v>159</v>
      </c>
      <c r="C72" s="33"/>
      <c r="D72" s="33"/>
      <c r="E72" s="33"/>
      <c r="F72" s="33"/>
      <c r="G72" s="33"/>
      <c r="H72" s="122">
        <f>SUM(H69:H71)</f>
        <v>512000</v>
      </c>
      <c r="I72" s="123">
        <f>H72/C58</f>
        <v>4.264905150421286</v>
      </c>
      <c r="J72" s="124"/>
      <c r="K72" s="64"/>
      <c r="P72" s="312">
        <f t="shared" si="26"/>
        <v>0.005669726765235159</v>
      </c>
      <c r="Q72" s="247">
        <v>71</v>
      </c>
      <c r="R72" s="299">
        <v>0.03</v>
      </c>
      <c r="S72" s="250">
        <v>1.1</v>
      </c>
      <c r="AA72" s="316">
        <f t="shared" si="21"/>
      </c>
      <c r="AB72" s="316">
        <f t="shared" si="22"/>
      </c>
      <c r="AC72" s="316">
        <f t="shared" si="23"/>
      </c>
      <c r="AD72" s="316">
        <f t="shared" si="24"/>
      </c>
      <c r="AE72" s="316">
        <f t="shared" si="25"/>
      </c>
      <c r="AG72" s="316">
        <f t="shared" si="27"/>
      </c>
      <c r="AH72" s="316">
        <f t="shared" si="28"/>
      </c>
      <c r="AI72" s="316">
        <f t="shared" si="29"/>
      </c>
      <c r="AJ72" s="316">
        <f t="shared" si="30"/>
      </c>
      <c r="AK72" s="316">
        <f t="shared" si="31"/>
      </c>
    </row>
    <row r="73" spans="1:37" s="33" customFormat="1" ht="15.75">
      <c r="A73" s="36" t="s">
        <v>160</v>
      </c>
      <c r="H73" s="120">
        <f>H66+H72</f>
        <v>1067000</v>
      </c>
      <c r="I73" s="121">
        <f>H73/C58</f>
        <v>8.887995694334984</v>
      </c>
      <c r="J73" s="121"/>
      <c r="K73" s="66"/>
      <c r="O73" s="380"/>
      <c r="P73" s="312">
        <f t="shared" si="26"/>
        <v>0.0058243556770142995</v>
      </c>
      <c r="Q73" s="247">
        <v>72</v>
      </c>
      <c r="R73" s="299">
        <v>0.03</v>
      </c>
      <c r="S73" s="250">
        <v>1.1</v>
      </c>
      <c r="AA73" s="316">
        <f t="shared" si="21"/>
      </c>
      <c r="AB73" s="316">
        <f t="shared" si="22"/>
      </c>
      <c r="AC73" s="316">
        <f t="shared" si="23"/>
      </c>
      <c r="AD73" s="316">
        <f t="shared" si="24"/>
      </c>
      <c r="AE73" s="316">
        <f t="shared" si="25"/>
      </c>
      <c r="AG73" s="316">
        <f t="shared" si="27"/>
      </c>
      <c r="AH73" s="316">
        <f t="shared" si="28"/>
      </c>
      <c r="AI73" s="316">
        <f t="shared" si="29"/>
      </c>
      <c r="AJ73" s="316">
        <f t="shared" si="30"/>
      </c>
      <c r="AK73" s="316">
        <f t="shared" si="31"/>
      </c>
    </row>
    <row r="74" spans="1:37" s="33" customFormat="1" ht="15">
      <c r="A74" s="59"/>
      <c r="B74" s="59"/>
      <c r="C74" s="59"/>
      <c r="H74" s="41"/>
      <c r="I74" s="60"/>
      <c r="J74" s="60"/>
      <c r="O74" s="380"/>
      <c r="P74" s="312">
        <f t="shared" si="26"/>
        <v>0.005983201740932871</v>
      </c>
      <c r="Q74" s="247">
        <v>73</v>
      </c>
      <c r="R74" s="299">
        <v>0.03</v>
      </c>
      <c r="S74" s="250">
        <v>1.1</v>
      </c>
      <c r="AA74" s="316">
        <f t="shared" si="21"/>
      </c>
      <c r="AB74" s="316">
        <f t="shared" si="22"/>
      </c>
      <c r="AC74" s="316">
        <f t="shared" si="23"/>
      </c>
      <c r="AD74" s="316">
        <f t="shared" si="24"/>
      </c>
      <c r="AE74" s="316">
        <f t="shared" si="25"/>
      </c>
      <c r="AG74" s="316">
        <f t="shared" si="27"/>
      </c>
      <c r="AH74" s="316">
        <f t="shared" si="28"/>
      </c>
      <c r="AI74" s="316">
        <f t="shared" si="29"/>
      </c>
      <c r="AJ74" s="316">
        <f t="shared" si="30"/>
      </c>
      <c r="AK74" s="316">
        <f t="shared" si="31"/>
      </c>
    </row>
    <row r="75" spans="1:37" s="33" customFormat="1" ht="15.75">
      <c r="A75" s="58" t="s">
        <v>228</v>
      </c>
      <c r="B75" s="59"/>
      <c r="C75" s="59"/>
      <c r="E75" s="67"/>
      <c r="F75" s="67"/>
      <c r="H75" s="68"/>
      <c r="I75" s="121"/>
      <c r="J75" s="121"/>
      <c r="K75" s="34"/>
      <c r="O75" s="380"/>
      <c r="P75" s="312">
        <f t="shared" si="26"/>
        <v>0.00614637997023104</v>
      </c>
      <c r="Q75" s="247">
        <v>74</v>
      </c>
      <c r="R75" s="299">
        <v>0.03</v>
      </c>
      <c r="S75" s="250">
        <v>1.1</v>
      </c>
      <c r="AA75" s="316">
        <f t="shared" si="21"/>
      </c>
      <c r="AB75" s="316">
        <f t="shared" si="22"/>
      </c>
      <c r="AC75" s="316">
        <f t="shared" si="23"/>
      </c>
      <c r="AD75" s="316">
        <f t="shared" si="24"/>
      </c>
      <c r="AE75" s="316">
        <f t="shared" si="25"/>
      </c>
      <c r="AG75" s="316">
        <f t="shared" si="27"/>
      </c>
      <c r="AH75" s="316">
        <f t="shared" si="28"/>
      </c>
      <c r="AI75" s="316">
        <f t="shared" si="29"/>
      </c>
      <c r="AJ75" s="316">
        <f t="shared" si="30"/>
      </c>
      <c r="AK75" s="316">
        <f t="shared" si="31"/>
      </c>
    </row>
    <row r="76" spans="1:37" ht="15.75">
      <c r="A76" s="58" t="s">
        <v>3</v>
      </c>
      <c r="B76" s="81" t="s">
        <v>194</v>
      </c>
      <c r="C76" s="82"/>
      <c r="E76" s="163">
        <v>10</v>
      </c>
      <c r="F76" s="82" t="s">
        <v>227</v>
      </c>
      <c r="G76" s="432">
        <v>2000</v>
      </c>
      <c r="H76" s="93">
        <f>G76*E76</f>
        <v>20000</v>
      </c>
      <c r="I76" s="121">
        <f>+H76/$C$58</f>
        <v>0.1665978574383315</v>
      </c>
      <c r="J76" s="63"/>
      <c r="K76" s="66"/>
      <c r="P76" s="312">
        <f t="shared" si="26"/>
        <v>0.006314008514873705</v>
      </c>
      <c r="Q76" s="247">
        <v>75</v>
      </c>
      <c r="R76" s="299">
        <v>0.03</v>
      </c>
      <c r="S76" s="250">
        <v>1.1</v>
      </c>
      <c r="AA76" s="316">
        <f t="shared" si="21"/>
      </c>
      <c r="AB76" s="316">
        <f t="shared" si="22"/>
      </c>
      <c r="AC76" s="316">
        <f t="shared" si="23"/>
      </c>
      <c r="AD76" s="316">
        <f t="shared" si="24"/>
      </c>
      <c r="AE76" s="316">
        <f t="shared" si="25"/>
      </c>
      <c r="AG76" s="316">
        <f t="shared" si="27"/>
      </c>
      <c r="AH76" s="316">
        <f t="shared" si="28"/>
      </c>
      <c r="AI76" s="316">
        <f t="shared" si="29"/>
      </c>
      <c r="AJ76" s="316">
        <f t="shared" si="30"/>
      </c>
      <c r="AK76" s="316">
        <f t="shared" si="31"/>
      </c>
    </row>
    <row r="77" spans="1:37" ht="15.75">
      <c r="A77" s="58"/>
      <c r="B77" s="82"/>
      <c r="C77" s="81"/>
      <c r="D77" s="114"/>
      <c r="E77" s="82"/>
      <c r="F77" s="125"/>
      <c r="G77" s="33"/>
      <c r="H77" s="69"/>
      <c r="I77" s="63"/>
      <c r="J77" s="63"/>
      <c r="K77" s="54"/>
      <c r="P77" s="312">
        <f t="shared" si="26"/>
        <v>0.006486208747097533</v>
      </c>
      <c r="Q77" s="247">
        <v>76</v>
      </c>
      <c r="R77" s="299">
        <v>0.03</v>
      </c>
      <c r="S77" s="250">
        <v>1.1</v>
      </c>
      <c r="AA77" s="316">
        <f t="shared" si="21"/>
      </c>
      <c r="AB77" s="316">
        <f t="shared" si="22"/>
      </c>
      <c r="AC77" s="316">
        <f t="shared" si="23"/>
      </c>
      <c r="AD77" s="316">
        <f t="shared" si="24"/>
      </c>
      <c r="AE77" s="316">
        <f t="shared" si="25"/>
      </c>
      <c r="AG77" s="316">
        <f t="shared" si="27"/>
      </c>
      <c r="AH77" s="316">
        <f t="shared" si="28"/>
      </c>
      <c r="AI77" s="316">
        <f t="shared" si="29"/>
      </c>
      <c r="AJ77" s="316">
        <f t="shared" si="30"/>
      </c>
      <c r="AK77" s="316">
        <f t="shared" si="31"/>
      </c>
    </row>
    <row r="78" spans="1:37" ht="15.75">
      <c r="A78" s="36" t="s">
        <v>222</v>
      </c>
      <c r="G78" s="70"/>
      <c r="H78" s="62"/>
      <c r="K78" s="52"/>
      <c r="P78" s="312">
        <f t="shared" si="26"/>
        <v>0.006663105349291103</v>
      </c>
      <c r="Q78" s="247">
        <v>77</v>
      </c>
      <c r="R78" s="299">
        <v>0.03</v>
      </c>
      <c r="S78" s="250">
        <v>1.1</v>
      </c>
      <c r="AA78" s="316">
        <f t="shared" si="21"/>
      </c>
      <c r="AB78" s="316">
        <f t="shared" si="22"/>
      </c>
      <c r="AC78" s="316">
        <f t="shared" si="23"/>
      </c>
      <c r="AD78" s="316">
        <f t="shared" si="24"/>
      </c>
      <c r="AE78" s="316">
        <f t="shared" si="25"/>
      </c>
      <c r="AG78" s="316">
        <f t="shared" si="27"/>
      </c>
      <c r="AH78" s="316">
        <f t="shared" si="28"/>
      </c>
      <c r="AI78" s="316">
        <f t="shared" si="29"/>
      </c>
      <c r="AJ78" s="316">
        <f t="shared" si="30"/>
      </c>
      <c r="AK78" s="316">
        <f t="shared" si="31"/>
      </c>
    </row>
    <row r="79" spans="1:37" ht="15.75">
      <c r="A79" s="145" t="s">
        <v>193</v>
      </c>
      <c r="B79" s="145"/>
      <c r="C79" s="145"/>
      <c r="D79" s="145"/>
      <c r="E79" s="255"/>
      <c r="F79" s="256"/>
      <c r="G79" s="255"/>
      <c r="H79" s="257">
        <v>30000</v>
      </c>
      <c r="I79" s="113">
        <f>+H79/C58</f>
        <v>0.24989678615749725</v>
      </c>
      <c r="J79" s="113"/>
      <c r="K79" s="52"/>
      <c r="P79" s="312">
        <f t="shared" si="26"/>
        <v>0.006844826404271769</v>
      </c>
      <c r="Q79" s="247">
        <v>78</v>
      </c>
      <c r="R79" s="299">
        <v>0.03</v>
      </c>
      <c r="S79" s="250">
        <v>1.1</v>
      </c>
      <c r="AA79" s="316">
        <f t="shared" si="21"/>
      </c>
      <c r="AB79" s="316">
        <f t="shared" si="22"/>
      </c>
      <c r="AC79" s="316">
        <f t="shared" si="23"/>
      </c>
      <c r="AD79" s="316">
        <f t="shared" si="24"/>
      </c>
      <c r="AE79" s="316">
        <f t="shared" si="25"/>
      </c>
      <c r="AG79" s="316">
        <f t="shared" si="27"/>
      </c>
      <c r="AH79" s="316">
        <f t="shared" si="28"/>
      </c>
      <c r="AI79" s="316">
        <f t="shared" si="29"/>
      </c>
      <c r="AJ79" s="316">
        <f t="shared" si="30"/>
      </c>
      <c r="AK79" s="316">
        <f t="shared" si="31"/>
      </c>
    </row>
    <row r="80" spans="1:37" ht="15.75">
      <c r="A80" s="236" t="s">
        <v>337</v>
      </c>
      <c r="B80" s="145"/>
      <c r="C80" s="145"/>
      <c r="D80" s="145"/>
      <c r="E80" s="258"/>
      <c r="F80" s="259"/>
      <c r="G80" s="55"/>
      <c r="H80" s="260">
        <v>35000</v>
      </c>
      <c r="I80" s="118">
        <f>H80/C58</f>
        <v>0.2915462505170801</v>
      </c>
      <c r="J80" s="119"/>
      <c r="K80" s="61"/>
      <c r="P80" s="312">
        <f t="shared" si="26"/>
        <v>0.007031503488024635</v>
      </c>
      <c r="Q80" s="247">
        <v>79</v>
      </c>
      <c r="R80" s="299">
        <v>0.03</v>
      </c>
      <c r="S80" s="250">
        <v>1.1</v>
      </c>
      <c r="AA80" s="316">
        <f t="shared" si="21"/>
      </c>
      <c r="AB80" s="316">
        <f t="shared" si="22"/>
      </c>
      <c r="AC80" s="316">
        <f t="shared" si="23"/>
      </c>
      <c r="AD80" s="316">
        <f t="shared" si="24"/>
      </c>
      <c r="AE80" s="316">
        <f t="shared" si="25"/>
      </c>
      <c r="AG80" s="316">
        <f t="shared" si="27"/>
      </c>
      <c r="AH80" s="316">
        <f t="shared" si="28"/>
      </c>
      <c r="AI80" s="316">
        <f t="shared" si="29"/>
      </c>
      <c r="AJ80" s="316">
        <f t="shared" si="30"/>
      </c>
      <c r="AK80" s="316">
        <f t="shared" si="31"/>
      </c>
    </row>
    <row r="81" spans="1:37" s="33" customFormat="1" ht="15.75">
      <c r="A81" s="36" t="s">
        <v>223</v>
      </c>
      <c r="E81" s="71"/>
      <c r="F81" s="72"/>
      <c r="G81" s="55"/>
      <c r="H81" s="120">
        <f>SUM(H79+H80)</f>
        <v>65000</v>
      </c>
      <c r="I81" s="121">
        <f>SUM(I79+I80)</f>
        <v>0.5414430366745774</v>
      </c>
      <c r="J81" s="121"/>
      <c r="K81" s="66"/>
      <c r="O81" s="380"/>
      <c r="P81" s="312">
        <f t="shared" si="26"/>
        <v>0.007223271764970762</v>
      </c>
      <c r="Q81" s="247">
        <v>80</v>
      </c>
      <c r="R81" s="299">
        <v>0.03</v>
      </c>
      <c r="S81" s="250">
        <v>1.1</v>
      </c>
      <c r="AA81" s="316">
        <f t="shared" si="21"/>
      </c>
      <c r="AB81" s="316">
        <f t="shared" si="22"/>
      </c>
      <c r="AC81" s="316">
        <f t="shared" si="23"/>
      </c>
      <c r="AD81" s="316">
        <f t="shared" si="24"/>
      </c>
      <c r="AE81" s="316">
        <f t="shared" si="25"/>
      </c>
      <c r="AG81" s="316">
        <f t="shared" si="27"/>
      </c>
      <c r="AH81" s="316">
        <f t="shared" si="28"/>
      </c>
      <c r="AI81" s="316">
        <f t="shared" si="29"/>
      </c>
      <c r="AJ81" s="316">
        <f t="shared" si="30"/>
      </c>
      <c r="AK81" s="316">
        <f t="shared" si="31"/>
      </c>
    </row>
    <row r="82" spans="1:37" ht="15.75">
      <c r="A82" s="33"/>
      <c r="B82" s="33"/>
      <c r="C82" s="33"/>
      <c r="D82" s="33"/>
      <c r="E82" s="71"/>
      <c r="F82" s="72"/>
      <c r="G82" s="55"/>
      <c r="H82" s="73"/>
      <c r="I82" s="121"/>
      <c r="J82" s="121"/>
      <c r="K82" s="61"/>
      <c r="P82" s="312">
        <f t="shared" si="26"/>
        <v>0.007420270085833601</v>
      </c>
      <c r="Q82" s="247">
        <v>81</v>
      </c>
      <c r="R82" s="299">
        <v>0.03</v>
      </c>
      <c r="S82" s="250">
        <v>1.1</v>
      </c>
      <c r="AA82" s="316">
        <f t="shared" si="21"/>
      </c>
      <c r="AB82" s="316">
        <f t="shared" si="22"/>
      </c>
      <c r="AC82" s="316">
        <f t="shared" si="23"/>
      </c>
      <c r="AD82" s="316">
        <f t="shared" si="24"/>
      </c>
      <c r="AE82" s="316">
        <f t="shared" si="25"/>
      </c>
      <c r="AG82" s="316">
        <f t="shared" si="27"/>
      </c>
      <c r="AH82" s="316">
        <f t="shared" si="28"/>
      </c>
      <c r="AI82" s="316">
        <f t="shared" si="29"/>
      </c>
      <c r="AJ82" s="316">
        <f t="shared" si="30"/>
      </c>
      <c r="AK82" s="316">
        <f t="shared" si="31"/>
      </c>
    </row>
    <row r="83" spans="1:37" s="33" customFormat="1" ht="15.75">
      <c r="A83" s="36" t="s">
        <v>176</v>
      </c>
      <c r="H83" s="120">
        <f>H81+H76+H73</f>
        <v>1152000</v>
      </c>
      <c r="I83" s="121">
        <f>H83/C58</f>
        <v>9.596036588447895</v>
      </c>
      <c r="J83" s="121"/>
      <c r="K83" s="65"/>
      <c r="O83" s="380"/>
      <c r="P83" s="312">
        <f t="shared" si="26"/>
        <v>0.0076226410881745175</v>
      </c>
      <c r="Q83" s="247">
        <v>82</v>
      </c>
      <c r="R83" s="299">
        <v>0.03</v>
      </c>
      <c r="S83" s="250">
        <v>1.1</v>
      </c>
      <c r="AA83" s="316">
        <f t="shared" si="21"/>
      </c>
      <c r="AB83" s="316">
        <f t="shared" si="22"/>
      </c>
      <c r="AC83" s="316">
        <f t="shared" si="23"/>
      </c>
      <c r="AD83" s="316">
        <f t="shared" si="24"/>
      </c>
      <c r="AE83" s="316">
        <f t="shared" si="25"/>
      </c>
      <c r="AG83" s="316">
        <f t="shared" si="27"/>
      </c>
      <c r="AH83" s="316">
        <f t="shared" si="28"/>
      </c>
      <c r="AI83" s="316">
        <f t="shared" si="29"/>
      </c>
      <c r="AJ83" s="316">
        <f t="shared" si="30"/>
      </c>
      <c r="AK83" s="316">
        <f t="shared" si="31"/>
      </c>
    </row>
    <row r="84" spans="11:37" s="33" customFormat="1" ht="15">
      <c r="K84" s="34"/>
      <c r="O84" s="380"/>
      <c r="P84" s="312">
        <f t="shared" si="26"/>
        <v>0.007830531299670186</v>
      </c>
      <c r="Q84" s="247">
        <v>83</v>
      </c>
      <c r="R84" s="299">
        <v>0.03</v>
      </c>
      <c r="S84" s="250">
        <v>1.1</v>
      </c>
      <c r="AA84" s="316">
        <f t="shared" si="21"/>
      </c>
      <c r="AB84" s="316">
        <f t="shared" si="22"/>
      </c>
      <c r="AC84" s="316">
        <f t="shared" si="23"/>
      </c>
      <c r="AD84" s="316">
        <f t="shared" si="24"/>
      </c>
      <c r="AE84" s="316">
        <f t="shared" si="25"/>
      </c>
      <c r="AG84" s="316">
        <f t="shared" si="27"/>
      </c>
      <c r="AH84" s="316">
        <f t="shared" si="28"/>
      </c>
      <c r="AI84" s="316">
        <f t="shared" si="29"/>
      </c>
      <c r="AJ84" s="316">
        <f t="shared" si="30"/>
      </c>
      <c r="AK84" s="316">
        <f t="shared" si="31"/>
      </c>
    </row>
    <row r="85" spans="1:37" s="33" customFormat="1" ht="15" customHeight="1">
      <c r="A85" s="458" t="s">
        <v>354</v>
      </c>
      <c r="B85" s="459"/>
      <c r="C85" s="459"/>
      <c r="D85" s="459"/>
      <c r="E85" s="459"/>
      <c r="F85" s="459"/>
      <c r="G85" s="459"/>
      <c r="H85" s="459"/>
      <c r="I85" s="459"/>
      <c r="J85" s="459"/>
      <c r="K85" s="459"/>
      <c r="O85" s="380"/>
      <c r="P85" s="312">
        <f t="shared" si="26"/>
        <v>0.008044091244206646</v>
      </c>
      <c r="Q85" s="247">
        <v>84</v>
      </c>
      <c r="R85" s="299">
        <v>0.03</v>
      </c>
      <c r="S85" s="250">
        <v>1.1</v>
      </c>
      <c r="AA85" s="316">
        <f t="shared" si="21"/>
      </c>
      <c r="AB85" s="316">
        <f t="shared" si="22"/>
      </c>
      <c r="AC85" s="316">
        <f t="shared" si="23"/>
      </c>
      <c r="AD85" s="316">
        <f t="shared" si="24"/>
      </c>
      <c r="AE85" s="316">
        <f t="shared" si="25"/>
      </c>
      <c r="AG85" s="316">
        <f t="shared" si="27"/>
      </c>
      <c r="AH85" s="316">
        <f t="shared" si="28"/>
      </c>
      <c r="AI85" s="316">
        <f t="shared" si="29"/>
      </c>
      <c r="AJ85" s="316">
        <f t="shared" si="30"/>
      </c>
      <c r="AK85" s="316">
        <f t="shared" si="31"/>
      </c>
    </row>
    <row r="86" spans="1:37" s="33" customFormat="1" ht="15" customHeight="1">
      <c r="A86" s="460"/>
      <c r="B86" s="461"/>
      <c r="C86" s="461"/>
      <c r="D86" s="461"/>
      <c r="E86" s="461"/>
      <c r="F86" s="461"/>
      <c r="G86" s="461"/>
      <c r="H86" s="461"/>
      <c r="I86" s="461"/>
      <c r="J86" s="461"/>
      <c r="K86" s="461"/>
      <c r="O86" s="380"/>
      <c r="P86" s="312"/>
      <c r="Q86" s="247"/>
      <c r="R86" s="299"/>
      <c r="S86" s="250"/>
      <c r="AA86" s="316"/>
      <c r="AB86" s="316"/>
      <c r="AC86" s="316"/>
      <c r="AD86" s="316"/>
      <c r="AE86" s="316"/>
      <c r="AG86" s="316"/>
      <c r="AH86" s="316"/>
      <c r="AI86" s="316"/>
      <c r="AJ86" s="316"/>
      <c r="AK86" s="316"/>
    </row>
    <row r="87" spans="1:37" s="33" customFormat="1" ht="15" customHeight="1">
      <c r="A87" s="460"/>
      <c r="B87" s="461"/>
      <c r="C87" s="461"/>
      <c r="D87" s="461"/>
      <c r="E87" s="461"/>
      <c r="F87" s="461"/>
      <c r="G87" s="461"/>
      <c r="H87" s="461"/>
      <c r="I87" s="461"/>
      <c r="J87" s="461"/>
      <c r="K87" s="461"/>
      <c r="O87" s="380"/>
      <c r="P87" s="312"/>
      <c r="Q87" s="247"/>
      <c r="R87" s="299"/>
      <c r="S87" s="250"/>
      <c r="AA87" s="316"/>
      <c r="AB87" s="316"/>
      <c r="AC87" s="316"/>
      <c r="AD87" s="316"/>
      <c r="AE87" s="316"/>
      <c r="AG87" s="316"/>
      <c r="AH87" s="316"/>
      <c r="AI87" s="316"/>
      <c r="AJ87" s="316"/>
      <c r="AK87" s="316"/>
    </row>
    <row r="88" spans="1:37" s="33" customFormat="1" ht="15" customHeight="1">
      <c r="A88" s="462"/>
      <c r="B88" s="462"/>
      <c r="C88" s="462"/>
      <c r="D88" s="462"/>
      <c r="E88" s="462"/>
      <c r="F88" s="462"/>
      <c r="G88" s="462"/>
      <c r="H88" s="462"/>
      <c r="I88" s="462"/>
      <c r="J88" s="462"/>
      <c r="K88" s="462"/>
      <c r="O88" s="380"/>
      <c r="P88" s="312">
        <f>P85+(P85*R85/S85)</f>
        <v>0.008263475550866827</v>
      </c>
      <c r="Q88" s="247">
        <v>85</v>
      </c>
      <c r="R88" s="299">
        <v>0.03</v>
      </c>
      <c r="S88" s="250">
        <v>1.1</v>
      </c>
      <c r="AA88" s="316">
        <f t="shared" si="21"/>
      </c>
      <c r="AB88" s="316">
        <f t="shared" si="22"/>
      </c>
      <c r="AC88" s="316">
        <f t="shared" si="23"/>
      </c>
      <c r="AD88" s="316">
        <f t="shared" si="24"/>
      </c>
      <c r="AE88" s="316">
        <f t="shared" si="25"/>
      </c>
      <c r="AG88" s="316">
        <f t="shared" si="27"/>
      </c>
      <c r="AH88" s="316">
        <f t="shared" si="28"/>
      </c>
      <c r="AI88" s="316">
        <f t="shared" si="29"/>
      </c>
      <c r="AJ88" s="316">
        <f t="shared" si="30"/>
      </c>
      <c r="AK88" s="316">
        <f t="shared" si="31"/>
      </c>
    </row>
    <row r="89" spans="1:37" s="33" customFormat="1" ht="19.5" customHeight="1">
      <c r="A89" s="457" t="s">
        <v>198</v>
      </c>
      <c r="B89" s="457"/>
      <c r="C89" s="457"/>
      <c r="D89" s="457"/>
      <c r="E89" s="457"/>
      <c r="F89" s="457"/>
      <c r="G89" s="457"/>
      <c r="H89" s="457"/>
      <c r="I89" s="457"/>
      <c r="J89" s="457"/>
      <c r="K89" s="457"/>
      <c r="O89" s="380"/>
      <c r="P89" s="312">
        <f t="shared" si="26"/>
        <v>0.008488843065890468</v>
      </c>
      <c r="Q89" s="247">
        <v>86</v>
      </c>
      <c r="R89" s="299">
        <v>0.03</v>
      </c>
      <c r="S89" s="250">
        <v>1.1</v>
      </c>
      <c r="AA89" s="316">
        <f t="shared" si="21"/>
      </c>
      <c r="AB89" s="316">
        <f t="shared" si="22"/>
      </c>
      <c r="AC89" s="316">
        <f t="shared" si="23"/>
      </c>
      <c r="AD89" s="316">
        <f t="shared" si="24"/>
      </c>
      <c r="AE89" s="316">
        <f t="shared" si="25"/>
      </c>
      <c r="AG89" s="316">
        <f t="shared" si="27"/>
      </c>
      <c r="AH89" s="316">
        <f t="shared" si="28"/>
      </c>
      <c r="AI89" s="316">
        <f t="shared" si="29"/>
      </c>
      <c r="AJ89" s="316">
        <f t="shared" si="30"/>
      </c>
      <c r="AK89" s="316">
        <f t="shared" si="31"/>
      </c>
    </row>
    <row r="90" spans="1:37" s="33" customFormat="1" ht="16.5" customHeight="1">
      <c r="A90" s="50"/>
      <c r="B90" s="50"/>
      <c r="C90" s="50"/>
      <c r="D90" s="50"/>
      <c r="E90" s="50"/>
      <c r="F90" s="50"/>
      <c r="G90" s="50"/>
      <c r="H90" s="50"/>
      <c r="I90" s="50"/>
      <c r="J90" s="50"/>
      <c r="K90" s="50"/>
      <c r="O90" s="380"/>
      <c r="P90" s="312">
        <f t="shared" si="26"/>
        <v>0.00872035696768748</v>
      </c>
      <c r="Q90" s="247">
        <v>87</v>
      </c>
      <c r="R90" s="299">
        <v>0.03</v>
      </c>
      <c r="S90" s="250">
        <v>1.1</v>
      </c>
      <c r="AA90" s="316">
        <f t="shared" si="21"/>
      </c>
      <c r="AB90" s="316">
        <f t="shared" si="22"/>
      </c>
      <c r="AC90" s="316">
        <f t="shared" si="23"/>
      </c>
      <c r="AD90" s="316">
        <f t="shared" si="24"/>
      </c>
      <c r="AE90" s="316">
        <f t="shared" si="25"/>
      </c>
      <c r="AG90" s="316">
        <f t="shared" si="27"/>
      </c>
      <c r="AH90" s="316">
        <f t="shared" si="28"/>
      </c>
      <c r="AI90" s="316">
        <f t="shared" si="29"/>
      </c>
      <c r="AJ90" s="316">
        <f t="shared" si="30"/>
      </c>
      <c r="AK90" s="316">
        <f t="shared" si="31"/>
      </c>
    </row>
    <row r="91" spans="1:37" ht="15.75">
      <c r="A91" s="36" t="s">
        <v>181</v>
      </c>
      <c r="B91" s="33"/>
      <c r="C91" s="33"/>
      <c r="D91" s="33"/>
      <c r="E91" s="33"/>
      <c r="F91" s="33"/>
      <c r="G91" s="33"/>
      <c r="H91" s="33"/>
      <c r="I91" s="33"/>
      <c r="J91" s="33"/>
      <c r="K91" s="33"/>
      <c r="P91" s="312">
        <f t="shared" si="26"/>
        <v>0.008958184884988049</v>
      </c>
      <c r="Q91" s="247">
        <v>88</v>
      </c>
      <c r="R91" s="299">
        <v>0.03</v>
      </c>
      <c r="S91" s="250">
        <v>1.1</v>
      </c>
      <c r="AA91" s="316">
        <f t="shared" si="21"/>
      </c>
      <c r="AB91" s="316">
        <f t="shared" si="22"/>
      </c>
      <c r="AC91" s="316">
        <f t="shared" si="23"/>
      </c>
      <c r="AD91" s="316">
        <f t="shared" si="24"/>
      </c>
      <c r="AE91" s="316">
        <f t="shared" si="25"/>
      </c>
      <c r="AG91" s="316">
        <f t="shared" si="27"/>
      </c>
      <c r="AH91" s="316">
        <f t="shared" si="28"/>
      </c>
      <c r="AI91" s="316">
        <f t="shared" si="29"/>
      </c>
      <c r="AJ91" s="316">
        <f t="shared" si="30"/>
      </c>
      <c r="AK91" s="316">
        <f t="shared" si="31"/>
      </c>
    </row>
    <row r="92" spans="1:37" s="33" customFormat="1" ht="7.5" customHeight="1">
      <c r="A92" s="50"/>
      <c r="B92" s="50"/>
      <c r="C92" s="50"/>
      <c r="D92" s="50"/>
      <c r="E92" s="50"/>
      <c r="F92" s="50"/>
      <c r="G92" s="50"/>
      <c r="H92" s="50"/>
      <c r="I92" s="50"/>
      <c r="J92" s="50"/>
      <c r="K92" s="50"/>
      <c r="O92" s="380"/>
      <c r="P92" s="312">
        <f t="shared" si="26"/>
        <v>0.009202499018214997</v>
      </c>
      <c r="Q92" s="247">
        <v>89</v>
      </c>
      <c r="R92" s="299">
        <v>0.03</v>
      </c>
      <c r="S92" s="250">
        <v>1.1</v>
      </c>
      <c r="AA92" s="316">
        <f t="shared" si="21"/>
      </c>
      <c r="AB92" s="316">
        <f t="shared" si="22"/>
      </c>
      <c r="AC92" s="316">
        <f t="shared" si="23"/>
      </c>
      <c r="AD92" s="316">
        <f t="shared" si="24"/>
      </c>
      <c r="AE92" s="316">
        <f t="shared" si="25"/>
      </c>
      <c r="AG92" s="316">
        <f t="shared" si="27"/>
      </c>
      <c r="AH92" s="316">
        <f t="shared" si="28"/>
      </c>
      <c r="AI92" s="316">
        <f t="shared" si="29"/>
      </c>
      <c r="AJ92" s="316">
        <f t="shared" si="30"/>
      </c>
      <c r="AK92" s="316">
        <f t="shared" si="31"/>
      </c>
    </row>
    <row r="93" spans="1:37" ht="15">
      <c r="A93" s="33" t="s">
        <v>148</v>
      </c>
      <c r="B93" s="33"/>
      <c r="C93" s="33"/>
      <c r="D93" s="33"/>
      <c r="E93" s="33"/>
      <c r="F93" s="33"/>
      <c r="G93" s="33"/>
      <c r="H93" s="33"/>
      <c r="I93" s="33"/>
      <c r="J93" s="33"/>
      <c r="K93" s="33"/>
      <c r="P93" s="312">
        <f t="shared" si="26"/>
        <v>0.009453476264166314</v>
      </c>
      <c r="Q93" s="247">
        <v>90</v>
      </c>
      <c r="R93" s="299">
        <v>0.03</v>
      </c>
      <c r="S93" s="250">
        <v>1.1</v>
      </c>
      <c r="AA93" s="316">
        <f t="shared" si="21"/>
      </c>
      <c r="AB93" s="316">
        <f t="shared" si="22"/>
      </c>
      <c r="AC93" s="316">
        <f t="shared" si="23"/>
      </c>
      <c r="AD93" s="316">
        <f t="shared" si="24"/>
      </c>
      <c r="AE93" s="316">
        <f t="shared" si="25"/>
      </c>
      <c r="AG93" s="316">
        <f t="shared" si="27"/>
      </c>
      <c r="AH93" s="316">
        <f t="shared" si="28"/>
      </c>
      <c r="AI93" s="316">
        <f t="shared" si="29"/>
      </c>
      <c r="AJ93" s="316">
        <f t="shared" si="30"/>
      </c>
      <c r="AK93" s="316">
        <f t="shared" si="31"/>
      </c>
    </row>
    <row r="94" spans="2:37" s="33" customFormat="1" ht="15">
      <c r="B94" s="33" t="s">
        <v>149</v>
      </c>
      <c r="O94" s="380"/>
      <c r="P94" s="312">
        <f t="shared" si="26"/>
        <v>0.009711298344098123</v>
      </c>
      <c r="Q94" s="247">
        <v>91</v>
      </c>
      <c r="R94" s="299">
        <v>0.03</v>
      </c>
      <c r="S94" s="250">
        <v>1.1</v>
      </c>
      <c r="AA94" s="316">
        <f t="shared" si="21"/>
      </c>
      <c r="AB94" s="316">
        <f t="shared" si="22"/>
      </c>
      <c r="AC94" s="316">
        <f t="shared" si="23"/>
      </c>
      <c r="AD94" s="316">
        <f t="shared" si="24"/>
      </c>
      <c r="AE94" s="316">
        <f t="shared" si="25"/>
      </c>
      <c r="AG94" s="316">
        <f t="shared" si="27"/>
      </c>
      <c r="AH94" s="316">
        <f t="shared" si="28"/>
      </c>
      <c r="AI94" s="316">
        <f t="shared" si="29"/>
      </c>
      <c r="AJ94" s="316">
        <f t="shared" si="30"/>
      </c>
      <c r="AK94" s="316">
        <f t="shared" si="31"/>
      </c>
    </row>
    <row r="95" spans="3:37" s="33" customFormat="1" ht="15.75">
      <c r="C95" s="33" t="s">
        <v>150</v>
      </c>
      <c r="G95" s="128">
        <v>25</v>
      </c>
      <c r="H95" s="50" t="s">
        <v>151</v>
      </c>
      <c r="I95" s="50"/>
      <c r="J95" s="50"/>
      <c r="K95" s="50"/>
      <c r="O95" s="380"/>
      <c r="P95" s="312">
        <f t="shared" si="26"/>
        <v>0.0099761519353008</v>
      </c>
      <c r="Q95" s="247">
        <v>92</v>
      </c>
      <c r="R95" s="299">
        <v>0.03</v>
      </c>
      <c r="S95" s="250">
        <v>1.1</v>
      </c>
      <c r="AA95" s="316">
        <f t="shared" si="21"/>
      </c>
      <c r="AB95" s="316">
        <f t="shared" si="22"/>
      </c>
      <c r="AC95" s="316">
        <f t="shared" si="23"/>
      </c>
      <c r="AD95" s="316">
        <f t="shared" si="24"/>
      </c>
      <c r="AE95" s="316">
        <f t="shared" si="25"/>
      </c>
      <c r="AG95" s="316">
        <f t="shared" si="27"/>
      </c>
      <c r="AH95" s="316">
        <f t="shared" si="28"/>
      </c>
      <c r="AI95" s="316">
        <f t="shared" si="29"/>
      </c>
      <c r="AJ95" s="316">
        <f t="shared" si="30"/>
      </c>
      <c r="AK95" s="316">
        <f t="shared" si="31"/>
      </c>
    </row>
    <row r="96" spans="3:37" ht="15.75">
      <c r="C96" s="50" t="s">
        <v>95</v>
      </c>
      <c r="G96" s="128">
        <v>15</v>
      </c>
      <c r="H96" s="50" t="s">
        <v>151</v>
      </c>
      <c r="P96" s="312">
        <f t="shared" si="26"/>
        <v>0.010248228806263549</v>
      </c>
      <c r="Q96" s="247">
        <v>93</v>
      </c>
      <c r="R96" s="299">
        <v>0.03</v>
      </c>
      <c r="S96" s="250">
        <v>1.1</v>
      </c>
      <c r="AA96" s="316">
        <f t="shared" si="21"/>
      </c>
      <c r="AB96" s="316">
        <f t="shared" si="22"/>
      </c>
      <c r="AC96" s="316">
        <f t="shared" si="23"/>
      </c>
      <c r="AD96" s="316">
        <f t="shared" si="24"/>
      </c>
      <c r="AE96" s="316">
        <f t="shared" si="25"/>
      </c>
      <c r="AG96" s="316">
        <f t="shared" si="27"/>
      </c>
      <c r="AH96" s="316">
        <f t="shared" si="28"/>
      </c>
      <c r="AI96" s="316">
        <f t="shared" si="29"/>
      </c>
      <c r="AJ96" s="316">
        <f t="shared" si="30"/>
      </c>
      <c r="AK96" s="316">
        <f t="shared" si="31"/>
      </c>
    </row>
    <row r="97" spans="2:37" ht="15">
      <c r="B97" s="50" t="s">
        <v>152</v>
      </c>
      <c r="P97" s="312">
        <f t="shared" si="26"/>
        <v>0.010527725955525282</v>
      </c>
      <c r="Q97" s="247">
        <v>94</v>
      </c>
      <c r="R97" s="299">
        <v>0.03</v>
      </c>
      <c r="S97" s="250">
        <v>1.1</v>
      </c>
      <c r="AA97" s="316">
        <f t="shared" si="21"/>
      </c>
      <c r="AB97" s="316">
        <f t="shared" si="22"/>
      </c>
      <c r="AC97" s="316">
        <f t="shared" si="23"/>
      </c>
      <c r="AD97" s="316">
        <f t="shared" si="24"/>
      </c>
      <c r="AE97" s="316">
        <f t="shared" si="25"/>
      </c>
      <c r="AG97" s="316">
        <f t="shared" si="27"/>
      </c>
      <c r="AH97" s="316">
        <f t="shared" si="28"/>
      </c>
      <c r="AI97" s="316">
        <f t="shared" si="29"/>
      </c>
      <c r="AJ97" s="316">
        <f t="shared" si="30"/>
      </c>
      <c r="AK97" s="316">
        <f t="shared" si="31"/>
      </c>
    </row>
    <row r="98" spans="3:37" ht="15.75">
      <c r="C98" s="50" t="s">
        <v>150</v>
      </c>
      <c r="G98" s="130">
        <v>10</v>
      </c>
      <c r="H98" s="50" t="s">
        <v>142</v>
      </c>
      <c r="P98" s="312">
        <f t="shared" si="26"/>
        <v>0.010814845754312335</v>
      </c>
      <c r="Q98" s="247">
        <v>95</v>
      </c>
      <c r="R98" s="299">
        <v>0.03</v>
      </c>
      <c r="S98" s="250">
        <v>1.1</v>
      </c>
      <c r="AA98" s="316">
        <f t="shared" si="21"/>
      </c>
      <c r="AB98" s="316">
        <f t="shared" si="22"/>
      </c>
      <c r="AC98" s="316">
        <f t="shared" si="23"/>
      </c>
      <c r="AD98" s="316">
        <f t="shared" si="24"/>
      </c>
      <c r="AE98" s="316">
        <f t="shared" si="25"/>
      </c>
      <c r="AG98" s="316">
        <f t="shared" si="27"/>
      </c>
      <c r="AH98" s="316">
        <f t="shared" si="28"/>
      </c>
      <c r="AI98" s="316">
        <f t="shared" si="29"/>
      </c>
      <c r="AJ98" s="316">
        <f t="shared" si="30"/>
      </c>
      <c r="AK98" s="316">
        <f t="shared" si="31"/>
      </c>
    </row>
    <row r="99" spans="3:37" ht="15.75">
      <c r="C99" s="50" t="s">
        <v>95</v>
      </c>
      <c r="G99" s="130">
        <v>10</v>
      </c>
      <c r="H99" s="50" t="s">
        <v>142</v>
      </c>
      <c r="P99" s="312">
        <f t="shared" si="26"/>
        <v>0.011109796093066308</v>
      </c>
      <c r="Q99" s="247">
        <v>96</v>
      </c>
      <c r="R99" s="299">
        <v>0.03</v>
      </c>
      <c r="S99" s="250">
        <v>1.1</v>
      </c>
      <c r="AA99" s="316">
        <f t="shared" si="21"/>
      </c>
      <c r="AB99" s="316">
        <f t="shared" si="22"/>
      </c>
      <c r="AC99" s="316">
        <f t="shared" si="23"/>
      </c>
      <c r="AD99" s="316">
        <f t="shared" si="24"/>
      </c>
      <c r="AE99" s="316">
        <f t="shared" si="25"/>
      </c>
      <c r="AG99" s="316">
        <f t="shared" si="27"/>
      </c>
      <c r="AH99" s="316">
        <f t="shared" si="28"/>
      </c>
      <c r="AI99" s="316">
        <f t="shared" si="29"/>
      </c>
      <c r="AJ99" s="316">
        <f t="shared" si="30"/>
      </c>
      <c r="AK99" s="316">
        <f t="shared" si="31"/>
      </c>
    </row>
    <row r="100" spans="7:37" ht="15">
      <c r="G100" s="74" t="s">
        <v>4</v>
      </c>
      <c r="P100" s="312">
        <f t="shared" si="26"/>
        <v>0.011412790531968116</v>
      </c>
      <c r="Q100" s="247">
        <v>97</v>
      </c>
      <c r="R100" s="299">
        <v>0.03</v>
      </c>
      <c r="S100" s="250">
        <v>1.1</v>
      </c>
      <c r="AA100" s="316">
        <f t="shared" si="21"/>
      </c>
      <c r="AB100" s="316">
        <f t="shared" si="22"/>
      </c>
      <c r="AC100" s="316">
        <f t="shared" si="23"/>
      </c>
      <c r="AD100" s="316">
        <f t="shared" si="24"/>
      </c>
      <c r="AE100" s="316">
        <f t="shared" si="25"/>
      </c>
      <c r="AG100" s="316">
        <f t="shared" si="27"/>
      </c>
      <c r="AH100" s="316">
        <f t="shared" si="28"/>
      </c>
      <c r="AI100" s="316">
        <f t="shared" si="29"/>
      </c>
      <c r="AJ100" s="316">
        <f t="shared" si="30"/>
      </c>
      <c r="AK100" s="316">
        <f t="shared" si="31"/>
      </c>
    </row>
    <row r="101" spans="1:37" ht="15.75">
      <c r="A101" s="50" t="s">
        <v>154</v>
      </c>
      <c r="G101" s="130">
        <v>2.75</v>
      </c>
      <c r="H101" s="50" t="s">
        <v>142</v>
      </c>
      <c r="P101" s="312">
        <f t="shared" si="26"/>
        <v>0.011724048455567246</v>
      </c>
      <c r="Q101" s="247">
        <v>98</v>
      </c>
      <c r="R101" s="299">
        <v>0.03</v>
      </c>
      <c r="S101" s="250">
        <v>1.1</v>
      </c>
      <c r="AA101" s="316">
        <f t="shared" si="21"/>
      </c>
      <c r="AB101" s="316">
        <f t="shared" si="22"/>
      </c>
      <c r="AC101" s="316">
        <f t="shared" si="23"/>
      </c>
      <c r="AD101" s="316">
        <f t="shared" si="24"/>
      </c>
      <c r="AE101" s="316">
        <f t="shared" si="25"/>
      </c>
      <c r="AG101" s="316">
        <f t="shared" si="27"/>
      </c>
      <c r="AH101" s="316">
        <f t="shared" si="28"/>
      </c>
      <c r="AI101" s="316">
        <f t="shared" si="29"/>
      </c>
      <c r="AJ101" s="316">
        <f t="shared" si="30"/>
      </c>
      <c r="AK101" s="316">
        <f t="shared" si="31"/>
      </c>
    </row>
    <row r="102" spans="16:37" ht="15">
      <c r="P102" s="312">
        <f t="shared" si="26"/>
        <v>0.012043795231628171</v>
      </c>
      <c r="Q102" s="247">
        <v>99</v>
      </c>
      <c r="R102" s="299">
        <v>0.03</v>
      </c>
      <c r="S102" s="250">
        <v>1.1</v>
      </c>
      <c r="AA102" s="316">
        <f t="shared" si="21"/>
      </c>
      <c r="AB102" s="316">
        <f t="shared" si="22"/>
      </c>
      <c r="AC102" s="316">
        <f t="shared" si="23"/>
      </c>
      <c r="AD102" s="316">
        <f t="shared" si="24"/>
      </c>
      <c r="AE102" s="316">
        <f t="shared" si="25"/>
      </c>
      <c r="AG102" s="316">
        <f t="shared" si="27"/>
      </c>
      <c r="AH102" s="316">
        <f t="shared" si="28"/>
      </c>
      <c r="AI102" s="316">
        <f t="shared" si="29"/>
      </c>
      <c r="AJ102" s="316">
        <f t="shared" si="30"/>
      </c>
      <c r="AK102" s="316">
        <f t="shared" si="31"/>
      </c>
    </row>
    <row r="103" spans="1:37" ht="15.75">
      <c r="A103" s="58" t="s">
        <v>88</v>
      </c>
      <c r="B103" s="58"/>
      <c r="C103" s="58"/>
      <c r="D103" s="58"/>
      <c r="E103" s="58"/>
      <c r="F103" s="58"/>
      <c r="G103" s="59"/>
      <c r="H103" s="59"/>
      <c r="I103" s="59"/>
      <c r="J103" s="59"/>
      <c r="K103" s="59"/>
      <c r="P103" s="312">
        <f t="shared" si="26"/>
        <v>0.01237226237430894</v>
      </c>
      <c r="Q103" s="247">
        <v>100</v>
      </c>
      <c r="R103" s="299">
        <v>0.03</v>
      </c>
      <c r="S103" s="250">
        <v>1.1</v>
      </c>
      <c r="AA103" s="316">
        <f t="shared" si="21"/>
      </c>
      <c r="AB103" s="316">
        <f t="shared" si="22"/>
      </c>
      <c r="AC103" s="316">
        <f t="shared" si="23"/>
      </c>
      <c r="AD103" s="316">
        <f t="shared" si="24"/>
      </c>
      <c r="AE103" s="316">
        <f t="shared" si="25"/>
      </c>
      <c r="AG103" s="316">
        <f t="shared" si="27"/>
      </c>
      <c r="AH103" s="316">
        <f t="shared" si="28"/>
      </c>
      <c r="AI103" s="316">
        <f t="shared" si="29"/>
      </c>
      <c r="AJ103" s="316">
        <f t="shared" si="30"/>
      </c>
      <c r="AK103" s="316">
        <f t="shared" si="31"/>
      </c>
    </row>
    <row r="104" spans="1:37" s="59" customFormat="1" ht="15.75">
      <c r="A104" s="50"/>
      <c r="B104" s="50"/>
      <c r="C104" s="50"/>
      <c r="D104" s="50"/>
      <c r="E104" s="50"/>
      <c r="F104" s="63"/>
      <c r="G104" s="55"/>
      <c r="H104" s="50"/>
      <c r="I104" s="50"/>
      <c r="J104" s="50"/>
      <c r="K104" s="50"/>
      <c r="O104" s="380"/>
      <c r="P104" s="312">
        <f t="shared" si="26"/>
        <v>0.012709687711790093</v>
      </c>
      <c r="Q104" s="247">
        <v>101</v>
      </c>
      <c r="R104" s="299">
        <v>0.03</v>
      </c>
      <c r="S104" s="250">
        <v>1.1</v>
      </c>
      <c r="AA104" s="316">
        <f t="shared" si="21"/>
      </c>
      <c r="AB104" s="316">
        <f t="shared" si="22"/>
      </c>
      <c r="AC104" s="316">
        <f t="shared" si="23"/>
      </c>
      <c r="AD104" s="316">
        <f t="shared" si="24"/>
      </c>
      <c r="AE104" s="316">
        <f t="shared" si="25"/>
      </c>
      <c r="AG104" s="316">
        <f t="shared" si="27"/>
      </c>
      <c r="AH104" s="316">
        <f t="shared" si="28"/>
      </c>
      <c r="AI104" s="316">
        <f t="shared" si="29"/>
      </c>
      <c r="AJ104" s="316">
        <f t="shared" si="30"/>
      </c>
      <c r="AK104" s="316">
        <f t="shared" si="31"/>
      </c>
    </row>
    <row r="105" spans="2:37" ht="15">
      <c r="B105" s="161" t="s">
        <v>419</v>
      </c>
      <c r="P105" s="312">
        <f t="shared" si="26"/>
        <v>0.013056315558475277</v>
      </c>
      <c r="Q105" s="247">
        <v>102</v>
      </c>
      <c r="R105" s="299">
        <v>0.03</v>
      </c>
      <c r="S105" s="250">
        <v>1.1</v>
      </c>
      <c r="AA105" s="316">
        <f t="shared" si="21"/>
      </c>
      <c r="AB105" s="316">
        <f t="shared" si="22"/>
      </c>
      <c r="AC105" s="316">
        <f t="shared" si="23"/>
      </c>
      <c r="AD105" s="316">
        <f t="shared" si="24"/>
      </c>
      <c r="AE105" s="316">
        <f t="shared" si="25"/>
      </c>
      <c r="AG105" s="316">
        <f t="shared" si="27"/>
      </c>
      <c r="AH105" s="316">
        <f t="shared" si="28"/>
      </c>
      <c r="AI105" s="316">
        <f t="shared" si="29"/>
      </c>
      <c r="AJ105" s="316">
        <f t="shared" si="30"/>
      </c>
      <c r="AK105" s="316">
        <f t="shared" si="31"/>
      </c>
    </row>
    <row r="106" spans="3:37" ht="15.75">
      <c r="C106" s="50" t="s">
        <v>224</v>
      </c>
      <c r="E106" s="63"/>
      <c r="F106" s="63"/>
      <c r="G106" s="131">
        <v>1000</v>
      </c>
      <c r="H106" s="50" t="s">
        <v>144</v>
      </c>
      <c r="P106" s="312">
        <f t="shared" si="26"/>
        <v>0.013412396891888239</v>
      </c>
      <c r="Q106" s="247">
        <v>103</v>
      </c>
      <c r="R106" s="299">
        <v>0.03</v>
      </c>
      <c r="S106" s="250">
        <v>1.1</v>
      </c>
      <c r="AA106" s="316">
        <f t="shared" si="21"/>
      </c>
      <c r="AB106" s="316">
        <f t="shared" si="22"/>
      </c>
      <c r="AC106" s="316">
        <f t="shared" si="23"/>
      </c>
      <c r="AD106" s="316">
        <f t="shared" si="24"/>
      </c>
      <c r="AE106" s="316">
        <f t="shared" si="25"/>
      </c>
      <c r="AG106" s="316">
        <f t="shared" si="27"/>
      </c>
      <c r="AH106" s="316">
        <f t="shared" si="28"/>
      </c>
      <c r="AI106" s="316">
        <f t="shared" si="29"/>
      </c>
      <c r="AJ106" s="316">
        <f t="shared" si="30"/>
      </c>
      <c r="AK106" s="316">
        <f t="shared" si="31"/>
      </c>
    </row>
    <row r="107" spans="3:37" ht="15.75">
      <c r="C107" s="161" t="s">
        <v>433</v>
      </c>
      <c r="E107" s="63"/>
      <c r="F107" s="63"/>
      <c r="G107" s="131">
        <v>1500</v>
      </c>
      <c r="H107" s="50" t="s">
        <v>144</v>
      </c>
      <c r="P107" s="312">
        <f t="shared" si="26"/>
        <v>0.013778189534394282</v>
      </c>
      <c r="Q107" s="247">
        <v>104</v>
      </c>
      <c r="R107" s="299">
        <v>0.03</v>
      </c>
      <c r="S107" s="250">
        <v>1.1</v>
      </c>
      <c r="AA107" s="316">
        <f t="shared" si="21"/>
      </c>
      <c r="AB107" s="316">
        <f t="shared" si="22"/>
      </c>
      <c r="AC107" s="316">
        <f t="shared" si="23"/>
      </c>
      <c r="AD107" s="316">
        <f t="shared" si="24"/>
      </c>
      <c r="AE107" s="316">
        <f t="shared" si="25"/>
      </c>
      <c r="AG107" s="316">
        <f t="shared" si="27"/>
      </c>
      <c r="AH107" s="316">
        <f t="shared" si="28"/>
      </c>
      <c r="AI107" s="316">
        <f t="shared" si="29"/>
      </c>
      <c r="AJ107" s="316">
        <f t="shared" si="30"/>
      </c>
      <c r="AK107" s="316">
        <f t="shared" si="31"/>
      </c>
    </row>
    <row r="108" spans="5:37" ht="15">
      <c r="E108" s="63"/>
      <c r="F108" s="63"/>
      <c r="P108" s="312">
        <f t="shared" si="26"/>
        <v>0.014153958339877763</v>
      </c>
      <c r="Q108" s="247">
        <v>105</v>
      </c>
      <c r="R108" s="299">
        <v>0.03</v>
      </c>
      <c r="S108" s="250">
        <v>1.1</v>
      </c>
      <c r="AA108" s="316">
        <f t="shared" si="21"/>
      </c>
      <c r="AB108" s="316">
        <f t="shared" si="22"/>
      </c>
      <c r="AC108" s="316">
        <f t="shared" si="23"/>
      </c>
      <c r="AD108" s="316">
        <f t="shared" si="24"/>
      </c>
      <c r="AE108" s="316">
        <f t="shared" si="25"/>
      </c>
      <c r="AG108" s="316">
        <f t="shared" si="27"/>
      </c>
      <c r="AH108" s="316">
        <f t="shared" si="28"/>
      </c>
      <c r="AI108" s="316">
        <f t="shared" si="29"/>
      </c>
      <c r="AJ108" s="316">
        <f t="shared" si="30"/>
      </c>
      <c r="AK108" s="316">
        <f t="shared" si="31"/>
      </c>
    </row>
    <row r="109" spans="2:37" ht="15.75">
      <c r="B109" s="50" t="s">
        <v>138</v>
      </c>
      <c r="G109" s="130">
        <v>1.1</v>
      </c>
      <c r="H109" s="50" t="s">
        <v>168</v>
      </c>
      <c r="P109" s="312">
        <f t="shared" si="26"/>
        <v>0.014539975385510792</v>
      </c>
      <c r="Q109" s="247">
        <v>106</v>
      </c>
      <c r="R109" s="299">
        <v>0.03</v>
      </c>
      <c r="S109" s="250">
        <v>1.1</v>
      </c>
      <c r="AA109" s="316">
        <f t="shared" si="21"/>
      </c>
      <c r="AB109" s="316">
        <f t="shared" si="22"/>
      </c>
      <c r="AC109" s="316">
        <f t="shared" si="23"/>
      </c>
      <c r="AD109" s="316">
        <f t="shared" si="24"/>
      </c>
      <c r="AE109" s="316">
        <f t="shared" si="25"/>
      </c>
      <c r="AG109" s="316">
        <f t="shared" si="27"/>
      </c>
      <c r="AH109" s="316">
        <f t="shared" si="28"/>
      </c>
      <c r="AI109" s="316">
        <f t="shared" si="29"/>
      </c>
      <c r="AJ109" s="316">
        <f t="shared" si="30"/>
      </c>
      <c r="AK109" s="316">
        <f t="shared" si="31"/>
      </c>
    </row>
    <row r="110" spans="5:37" ht="15">
      <c r="E110" s="63"/>
      <c r="F110" s="63"/>
      <c r="P110" s="312">
        <f t="shared" si="26"/>
        <v>0.014936520168751995</v>
      </c>
      <c r="Q110" s="247">
        <v>107</v>
      </c>
      <c r="R110" s="299">
        <v>0.03</v>
      </c>
      <c r="S110" s="250">
        <v>1.1</v>
      </c>
      <c r="AA110" s="316">
        <f t="shared" si="21"/>
      </c>
      <c r="AB110" s="316">
        <f t="shared" si="22"/>
      </c>
      <c r="AC110" s="316">
        <f t="shared" si="23"/>
      </c>
      <c r="AD110" s="316">
        <f t="shared" si="24"/>
      </c>
      <c r="AE110" s="316">
        <f t="shared" si="25"/>
      </c>
      <c r="AG110" s="316">
        <f t="shared" si="27"/>
      </c>
      <c r="AH110" s="316">
        <f t="shared" si="28"/>
      </c>
      <c r="AI110" s="316">
        <f t="shared" si="29"/>
      </c>
      <c r="AJ110" s="316">
        <f t="shared" si="30"/>
      </c>
      <c r="AK110" s="316">
        <f t="shared" si="31"/>
      </c>
    </row>
    <row r="111" spans="2:37" ht="15.75">
      <c r="B111" s="223" t="s">
        <v>294</v>
      </c>
      <c r="F111" s="162" t="s">
        <v>430</v>
      </c>
      <c r="G111" s="164">
        <v>0.082</v>
      </c>
      <c r="H111" s="49" t="s">
        <v>248</v>
      </c>
      <c r="I111" s="81"/>
      <c r="P111" s="312">
        <f t="shared" si="26"/>
        <v>0.015343879809717959</v>
      </c>
      <c r="Q111" s="247">
        <v>108</v>
      </c>
      <c r="R111" s="299">
        <v>0.03</v>
      </c>
      <c r="S111" s="250">
        <v>1.1</v>
      </c>
      <c r="AA111" s="316">
        <f t="shared" si="21"/>
      </c>
      <c r="AB111" s="316">
        <f t="shared" si="22"/>
      </c>
      <c r="AC111" s="316">
        <f t="shared" si="23"/>
      </c>
      <c r="AD111" s="316">
        <f t="shared" si="24"/>
      </c>
      <c r="AE111" s="316">
        <f t="shared" si="25"/>
      </c>
      <c r="AG111" s="316">
        <f t="shared" si="27"/>
      </c>
      <c r="AH111" s="316">
        <f t="shared" si="28"/>
      </c>
      <c r="AI111" s="316">
        <f t="shared" si="29"/>
      </c>
      <c r="AJ111" s="316">
        <f t="shared" si="30"/>
      </c>
      <c r="AK111" s="316">
        <f t="shared" si="31"/>
      </c>
    </row>
    <row r="112" spans="6:37" ht="15.75">
      <c r="F112" s="162" t="s">
        <v>429</v>
      </c>
      <c r="G112" s="163">
        <v>475000</v>
      </c>
      <c r="H112" s="161" t="s">
        <v>449</v>
      </c>
      <c r="P112" s="312">
        <f t="shared" si="26"/>
        <v>0.015762349259073903</v>
      </c>
      <c r="Q112" s="247">
        <v>109</v>
      </c>
      <c r="R112" s="299">
        <v>0.03</v>
      </c>
      <c r="S112" s="250">
        <v>1.1</v>
      </c>
      <c r="AA112" s="316">
        <f t="shared" si="21"/>
      </c>
      <c r="AB112" s="316">
        <f t="shared" si="22"/>
      </c>
      <c r="AC112" s="316">
        <f t="shared" si="23"/>
      </c>
      <c r="AD112" s="316">
        <f t="shared" si="24"/>
      </c>
      <c r="AE112" s="316">
        <f t="shared" si="25"/>
      </c>
      <c r="AG112" s="316">
        <f t="shared" si="27"/>
      </c>
      <c r="AH112" s="316">
        <f t="shared" si="28"/>
      </c>
      <c r="AI112" s="316">
        <f t="shared" si="29"/>
      </c>
      <c r="AJ112" s="316">
        <f t="shared" si="30"/>
      </c>
      <c r="AK112" s="316">
        <f t="shared" si="31"/>
      </c>
    </row>
    <row r="113" spans="2:37" ht="15.75">
      <c r="B113" s="236" t="s">
        <v>295</v>
      </c>
      <c r="C113" s="145"/>
      <c r="D113" s="145"/>
      <c r="E113" s="145"/>
      <c r="F113" s="220" t="s">
        <v>296</v>
      </c>
      <c r="G113" s="300">
        <v>0.5</v>
      </c>
      <c r="H113" s="236" t="s">
        <v>376</v>
      </c>
      <c r="P113" s="312">
        <f t="shared" si="26"/>
        <v>0.016192231511594102</v>
      </c>
      <c r="Q113" s="247">
        <v>110</v>
      </c>
      <c r="R113" s="299">
        <v>0.03</v>
      </c>
      <c r="S113" s="250">
        <v>1.1</v>
      </c>
      <c r="AA113" s="316">
        <f t="shared" si="21"/>
      </c>
      <c r="AB113" s="316">
        <f t="shared" si="22"/>
      </c>
      <c r="AC113" s="316">
        <f t="shared" si="23"/>
      </c>
      <c r="AD113" s="316">
        <f t="shared" si="24"/>
      </c>
      <c r="AE113" s="316">
        <f t="shared" si="25"/>
      </c>
      <c r="AG113" s="316">
        <f t="shared" si="27"/>
      </c>
      <c r="AH113" s="316">
        <f t="shared" si="28"/>
      </c>
      <c r="AI113" s="316">
        <f t="shared" si="29"/>
      </c>
      <c r="AJ113" s="316">
        <f t="shared" si="30"/>
      </c>
      <c r="AK113" s="316">
        <f t="shared" si="31"/>
      </c>
    </row>
    <row r="114" spans="2:37" ht="15.75">
      <c r="B114" s="145"/>
      <c r="C114" s="145"/>
      <c r="D114" s="145"/>
      <c r="E114" s="145"/>
      <c r="F114" s="220" t="s">
        <v>297</v>
      </c>
      <c r="G114" s="235">
        <v>3000</v>
      </c>
      <c r="H114" s="236" t="s">
        <v>450</v>
      </c>
      <c r="P114" s="312">
        <f t="shared" si="26"/>
        <v>0.016633837825546668</v>
      </c>
      <c r="Q114" s="247">
        <v>111</v>
      </c>
      <c r="R114" s="299">
        <v>0.03</v>
      </c>
      <c r="S114" s="250">
        <v>1.1</v>
      </c>
      <c r="AA114" s="316">
        <f t="shared" si="21"/>
      </c>
      <c r="AB114" s="316">
        <f t="shared" si="22"/>
      </c>
      <c r="AC114" s="316">
        <f t="shared" si="23"/>
      </c>
      <c r="AD114" s="316">
        <f t="shared" si="24"/>
      </c>
      <c r="AE114" s="316">
        <f t="shared" si="25"/>
      </c>
      <c r="AG114" s="316">
        <f t="shared" si="27"/>
      </c>
      <c r="AH114" s="316">
        <f t="shared" si="28"/>
      </c>
      <c r="AI114" s="316">
        <f t="shared" si="29"/>
      </c>
      <c r="AJ114" s="316">
        <f t="shared" si="30"/>
      </c>
      <c r="AK114" s="316">
        <f t="shared" si="31"/>
      </c>
    </row>
    <row r="115" spans="5:37" ht="15.75">
      <c r="E115" s="145"/>
      <c r="F115" s="220"/>
      <c r="G115" s="403"/>
      <c r="H115" s="236"/>
      <c r="P115" s="312">
        <f t="shared" si="26"/>
        <v>0.017087487948061576</v>
      </c>
      <c r="Q115" s="247">
        <v>112</v>
      </c>
      <c r="R115" s="299">
        <v>0.03</v>
      </c>
      <c r="S115" s="250">
        <v>1.1</v>
      </c>
      <c r="AA115" s="316">
        <f t="shared" si="21"/>
      </c>
      <c r="AB115" s="316">
        <f t="shared" si="22"/>
      </c>
      <c r="AC115" s="316">
        <f t="shared" si="23"/>
      </c>
      <c r="AD115" s="316">
        <f t="shared" si="24"/>
      </c>
      <c r="AE115" s="316">
        <f t="shared" si="25"/>
      </c>
      <c r="AG115" s="316">
        <f t="shared" si="27"/>
      </c>
      <c r="AH115" s="316">
        <f t="shared" si="28"/>
      </c>
      <c r="AI115" s="316">
        <f t="shared" si="29"/>
      </c>
      <c r="AJ115" s="316">
        <f t="shared" si="30"/>
      </c>
      <c r="AK115" s="316">
        <f t="shared" si="31"/>
      </c>
    </row>
    <row r="116" spans="2:37" ht="15.75">
      <c r="B116" s="236" t="s">
        <v>315</v>
      </c>
      <c r="C116" s="145"/>
      <c r="D116" s="145"/>
      <c r="E116" s="145"/>
      <c r="F116" s="220"/>
      <c r="G116" s="257">
        <v>600</v>
      </c>
      <c r="H116" s="50" t="s">
        <v>144</v>
      </c>
      <c r="P116" s="312">
        <f t="shared" si="26"/>
        <v>0.01755351034664507</v>
      </c>
      <c r="Q116" s="247">
        <v>113</v>
      </c>
      <c r="R116" s="299">
        <v>0.03</v>
      </c>
      <c r="S116" s="250">
        <v>1.1</v>
      </c>
      <c r="AA116" s="316">
        <f t="shared" si="21"/>
      </c>
      <c r="AB116" s="316">
        <f t="shared" si="22"/>
      </c>
      <c r="AC116" s="316">
        <f t="shared" si="23"/>
      </c>
      <c r="AD116" s="316">
        <f t="shared" si="24"/>
      </c>
      <c r="AE116" s="316">
        <f t="shared" si="25"/>
      </c>
      <c r="AG116" s="316">
        <f t="shared" si="27"/>
      </c>
      <c r="AH116" s="316">
        <f t="shared" si="28"/>
      </c>
      <c r="AI116" s="316">
        <f t="shared" si="29"/>
      </c>
      <c r="AJ116" s="316">
        <f t="shared" si="30"/>
      </c>
      <c r="AK116" s="316">
        <f t="shared" si="31"/>
      </c>
    </row>
    <row r="117" spans="2:37" ht="15.75">
      <c r="B117" s="236" t="s">
        <v>316</v>
      </c>
      <c r="C117" s="145"/>
      <c r="D117" s="145"/>
      <c r="E117" s="145"/>
      <c r="F117" s="220"/>
      <c r="G117" s="257">
        <v>840</v>
      </c>
      <c r="H117" s="50" t="s">
        <v>144</v>
      </c>
      <c r="P117" s="312">
        <f t="shared" si="26"/>
        <v>0.01803224244700812</v>
      </c>
      <c r="Q117" s="247">
        <v>114</v>
      </c>
      <c r="R117" s="299">
        <v>0.03</v>
      </c>
      <c r="S117" s="250">
        <v>1.1</v>
      </c>
      <c r="AA117" s="316">
        <f t="shared" si="21"/>
      </c>
      <c r="AB117" s="316">
        <f t="shared" si="22"/>
      </c>
      <c r="AC117" s="316">
        <f t="shared" si="23"/>
      </c>
      <c r="AD117" s="316">
        <f t="shared" si="24"/>
      </c>
      <c r="AE117" s="316">
        <f t="shared" si="25"/>
      </c>
      <c r="AG117" s="316">
        <f t="shared" si="27"/>
      </c>
      <c r="AH117" s="316">
        <f t="shared" si="28"/>
      </c>
      <c r="AI117" s="316">
        <f t="shared" si="29"/>
      </c>
      <c r="AJ117" s="316">
        <f t="shared" si="30"/>
      </c>
      <c r="AK117" s="316">
        <f t="shared" si="31"/>
      </c>
    </row>
    <row r="118" spans="2:37" ht="15.75">
      <c r="B118" s="145"/>
      <c r="C118" s="145"/>
      <c r="D118" s="145"/>
      <c r="E118" s="145"/>
      <c r="F118" s="220"/>
      <c r="G118" s="403"/>
      <c r="H118" s="236"/>
      <c r="P118" s="312">
        <f t="shared" si="26"/>
        <v>0.018524030877381067</v>
      </c>
      <c r="Q118" s="247">
        <v>115</v>
      </c>
      <c r="R118" s="299">
        <v>0.03</v>
      </c>
      <c r="S118" s="250">
        <v>1.1</v>
      </c>
      <c r="AA118" s="316">
        <f t="shared" si="21"/>
      </c>
      <c r="AB118" s="316">
        <f t="shared" si="22"/>
      </c>
      <c r="AC118" s="316">
        <f t="shared" si="23"/>
      </c>
      <c r="AD118" s="316">
        <f t="shared" si="24"/>
      </c>
      <c r="AE118" s="316">
        <f t="shared" si="25"/>
      </c>
      <c r="AG118" s="316">
        <f t="shared" si="27"/>
      </c>
      <c r="AH118" s="316">
        <f t="shared" si="28"/>
      </c>
      <c r="AI118" s="316">
        <f t="shared" si="29"/>
      </c>
      <c r="AJ118" s="316">
        <f t="shared" si="30"/>
      </c>
      <c r="AK118" s="316">
        <f t="shared" si="31"/>
      </c>
    </row>
    <row r="119" spans="2:37" ht="15.75">
      <c r="B119" s="236" t="s">
        <v>318</v>
      </c>
      <c r="C119" s="145"/>
      <c r="D119" s="145"/>
      <c r="E119" s="145"/>
      <c r="F119" s="220"/>
      <c r="G119" s="257">
        <v>500</v>
      </c>
      <c r="H119" s="50" t="s">
        <v>144</v>
      </c>
      <c r="P119" s="312">
        <f t="shared" si="26"/>
        <v>0.01902923171949146</v>
      </c>
      <c r="Q119" s="247">
        <v>116</v>
      </c>
      <c r="R119" s="299">
        <v>0.03</v>
      </c>
      <c r="S119" s="250">
        <v>1.1</v>
      </c>
      <c r="AA119" s="316">
        <f t="shared" si="21"/>
      </c>
      <c r="AB119" s="316">
        <f t="shared" si="22"/>
      </c>
      <c r="AC119" s="316">
        <f t="shared" si="23"/>
      </c>
      <c r="AD119" s="316">
        <f t="shared" si="24"/>
      </c>
      <c r="AE119" s="316">
        <f t="shared" si="25"/>
      </c>
      <c r="AG119" s="316">
        <f t="shared" si="27"/>
      </c>
      <c r="AH119" s="316">
        <f t="shared" si="28"/>
      </c>
      <c r="AI119" s="316">
        <f t="shared" si="29"/>
      </c>
      <c r="AJ119" s="316">
        <f t="shared" si="30"/>
      </c>
      <c r="AK119" s="316">
        <f t="shared" si="31"/>
      </c>
    </row>
    <row r="120" spans="2:37" ht="15.75">
      <c r="B120" s="236" t="s">
        <v>319</v>
      </c>
      <c r="C120" s="145"/>
      <c r="D120" s="145"/>
      <c r="E120" s="145"/>
      <c r="F120" s="220"/>
      <c r="G120" s="257">
        <v>500</v>
      </c>
      <c r="H120" s="50" t="s">
        <v>144</v>
      </c>
      <c r="P120" s="312">
        <f t="shared" si="26"/>
        <v>0.019548210766386683</v>
      </c>
      <c r="Q120" s="247">
        <v>117</v>
      </c>
      <c r="R120" s="299">
        <v>0.03</v>
      </c>
      <c r="S120" s="250">
        <v>1.1</v>
      </c>
      <c r="AA120" s="316">
        <f t="shared" si="21"/>
      </c>
      <c r="AB120" s="316">
        <f t="shared" si="22"/>
      </c>
      <c r="AC120" s="316">
        <f t="shared" si="23"/>
      </c>
      <c r="AD120" s="316">
        <f t="shared" si="24"/>
      </c>
      <c r="AE120" s="316">
        <f t="shared" si="25"/>
      </c>
      <c r="AG120" s="316">
        <f t="shared" si="27"/>
      </c>
      <c r="AH120" s="316">
        <f t="shared" si="28"/>
      </c>
      <c r="AI120" s="316">
        <f t="shared" si="29"/>
      </c>
      <c r="AJ120" s="316">
        <f t="shared" si="30"/>
      </c>
      <c r="AK120" s="316">
        <f t="shared" si="31"/>
      </c>
    </row>
    <row r="121" spans="5:37" ht="15.75">
      <c r="E121" s="145"/>
      <c r="F121" s="220"/>
      <c r="G121" s="403"/>
      <c r="H121" s="236"/>
      <c r="P121" s="312">
        <f t="shared" si="26"/>
        <v>0.02008134378728814</v>
      </c>
      <c r="Q121" s="248">
        <v>118</v>
      </c>
      <c r="R121" s="299">
        <f>0.026/1.2</f>
        <v>0.021666666666666667</v>
      </c>
      <c r="S121" s="250">
        <f>0.74*1.2</f>
        <v>0.888</v>
      </c>
      <c r="T121" s="161" t="s">
        <v>382</v>
      </c>
      <c r="AA121" s="316">
        <f t="shared" si="21"/>
        <v>0.021666666666666667</v>
      </c>
      <c r="AB121" s="316">
        <f t="shared" si="22"/>
      </c>
      <c r="AC121" s="316">
        <f t="shared" si="23"/>
      </c>
      <c r="AD121" s="316">
        <f t="shared" si="24"/>
      </c>
      <c r="AE121" s="316">
        <f t="shared" si="25"/>
      </c>
      <c r="AG121" s="316">
        <f t="shared" si="27"/>
        <v>0.888</v>
      </c>
      <c r="AH121" s="316">
        <f t="shared" si="28"/>
      </c>
      <c r="AI121" s="316">
        <f t="shared" si="29"/>
      </c>
      <c r="AJ121" s="316">
        <f t="shared" si="30"/>
      </c>
      <c r="AK121" s="316">
        <f t="shared" si="31"/>
      </c>
    </row>
    <row r="122" spans="2:37" ht="15.75">
      <c r="B122" s="236" t="s">
        <v>322</v>
      </c>
      <c r="C122" s="145"/>
      <c r="D122" s="145"/>
      <c r="E122" s="145"/>
      <c r="F122" s="220"/>
      <c r="G122" s="257">
        <v>2000</v>
      </c>
      <c r="H122" s="50" t="s">
        <v>144</v>
      </c>
      <c r="P122" s="312">
        <f t="shared" si="26"/>
        <v>0.02057131651483083</v>
      </c>
      <c r="Q122" s="247">
        <v>119</v>
      </c>
      <c r="R122" s="299">
        <f aca="true" t="shared" si="32" ref="R122:R160">0.026/1.2</f>
        <v>0.021666666666666667</v>
      </c>
      <c r="S122" s="250">
        <f aca="true" t="shared" si="33" ref="S122:S159">0.74*1.2</f>
        <v>0.888</v>
      </c>
      <c r="AA122" s="316">
        <f t="shared" si="21"/>
        <v>0.021666666666666667</v>
      </c>
      <c r="AB122" s="316">
        <f t="shared" si="22"/>
      </c>
      <c r="AC122" s="316">
        <f t="shared" si="23"/>
      </c>
      <c r="AD122" s="316">
        <f t="shared" si="24"/>
      </c>
      <c r="AE122" s="316">
        <f t="shared" si="25"/>
      </c>
      <c r="AG122" s="316">
        <f t="shared" si="27"/>
        <v>0.888</v>
      </c>
      <c r="AH122" s="316">
        <f t="shared" si="28"/>
      </c>
      <c r="AI122" s="316">
        <f t="shared" si="29"/>
      </c>
      <c r="AJ122" s="316">
        <f t="shared" si="30"/>
      </c>
      <c r="AK122" s="316">
        <f t="shared" si="31"/>
      </c>
    </row>
    <row r="123" spans="16:37" ht="15">
      <c r="P123" s="312">
        <f t="shared" si="26"/>
        <v>0.02107324428264765</v>
      </c>
      <c r="Q123" s="247">
        <v>120</v>
      </c>
      <c r="R123" s="299">
        <f t="shared" si="32"/>
        <v>0.021666666666666667</v>
      </c>
      <c r="S123" s="250">
        <f t="shared" si="33"/>
        <v>0.888</v>
      </c>
      <c r="AA123" s="316">
        <f t="shared" si="21"/>
        <v>0.021666666666666667</v>
      </c>
      <c r="AB123" s="316">
        <f t="shared" si="22"/>
      </c>
      <c r="AC123" s="316">
        <f t="shared" si="23"/>
      </c>
      <c r="AD123" s="316">
        <f t="shared" si="24"/>
      </c>
      <c r="AE123" s="316">
        <f t="shared" si="25"/>
      </c>
      <c r="AG123" s="316">
        <f t="shared" si="27"/>
        <v>0.888</v>
      </c>
      <c r="AH123" s="316">
        <f t="shared" si="28"/>
      </c>
      <c r="AI123" s="316">
        <f t="shared" si="29"/>
      </c>
      <c r="AJ123" s="316">
        <f t="shared" si="30"/>
      </c>
      <c r="AK123" s="316">
        <f t="shared" si="31"/>
      </c>
    </row>
    <row r="124" spans="2:37" ht="15">
      <c r="B124" s="161" t="s">
        <v>451</v>
      </c>
      <c r="E124" s="110"/>
      <c r="F124" s="63"/>
      <c r="P124" s="312">
        <f t="shared" si="26"/>
        <v>0.02158741878654108</v>
      </c>
      <c r="Q124" s="247">
        <v>121</v>
      </c>
      <c r="R124" s="299">
        <f t="shared" si="32"/>
        <v>0.021666666666666667</v>
      </c>
      <c r="S124" s="250">
        <f t="shared" si="33"/>
        <v>0.888</v>
      </c>
      <c r="AA124" s="316">
        <f t="shared" si="21"/>
        <v>0.021666666666666667</v>
      </c>
      <c r="AB124" s="316">
        <f t="shared" si="22"/>
      </c>
      <c r="AC124" s="316">
        <f t="shared" si="23"/>
      </c>
      <c r="AD124" s="316">
        <f t="shared" si="24"/>
      </c>
      <c r="AE124" s="316">
        <f t="shared" si="25"/>
      </c>
      <c r="AG124" s="316">
        <f t="shared" si="27"/>
        <v>0.888</v>
      </c>
      <c r="AH124" s="316">
        <f t="shared" si="28"/>
      </c>
      <c r="AI124" s="316">
        <f t="shared" si="29"/>
      </c>
      <c r="AJ124" s="316">
        <f t="shared" si="30"/>
      </c>
      <c r="AK124" s="316">
        <f t="shared" si="31"/>
      </c>
    </row>
    <row r="125" spans="3:37" ht="15.75">
      <c r="C125" s="50" t="s">
        <v>230</v>
      </c>
      <c r="G125" s="126">
        <v>0.35</v>
      </c>
      <c r="H125" s="50" t="s">
        <v>139</v>
      </c>
      <c r="P125" s="312">
        <f t="shared" si="26"/>
        <v>0.022114138839515993</v>
      </c>
      <c r="Q125" s="247">
        <v>122</v>
      </c>
      <c r="R125" s="299">
        <f t="shared" si="32"/>
        <v>0.021666666666666667</v>
      </c>
      <c r="S125" s="250">
        <f t="shared" si="33"/>
        <v>0.888</v>
      </c>
      <c r="AA125" s="316">
        <f t="shared" si="21"/>
        <v>0.021666666666666667</v>
      </c>
      <c r="AB125" s="316">
        <f t="shared" si="22"/>
      </c>
      <c r="AC125" s="316">
        <f t="shared" si="23"/>
      </c>
      <c r="AD125" s="316">
        <f t="shared" si="24"/>
      </c>
      <c r="AE125" s="316">
        <f t="shared" si="25"/>
      </c>
      <c r="AG125" s="316">
        <f t="shared" si="27"/>
        <v>0.888</v>
      </c>
      <c r="AH125" s="316">
        <f t="shared" si="28"/>
      </c>
      <c r="AI125" s="316">
        <f t="shared" si="29"/>
      </c>
      <c r="AJ125" s="316">
        <f t="shared" si="30"/>
      </c>
      <c r="AK125" s="316">
        <f t="shared" si="31"/>
      </c>
    </row>
    <row r="126" spans="7:37" ht="15.75">
      <c r="G126" s="112"/>
      <c r="P126" s="312">
        <f t="shared" si="26"/>
        <v>0.022653710545435114</v>
      </c>
      <c r="Q126" s="247">
        <v>123</v>
      </c>
      <c r="R126" s="299">
        <f t="shared" si="32"/>
        <v>0.021666666666666667</v>
      </c>
      <c r="S126" s="250">
        <f t="shared" si="33"/>
        <v>0.888</v>
      </c>
      <c r="AA126" s="316">
        <f t="shared" si="21"/>
        <v>0.021666666666666667</v>
      </c>
      <c r="AB126" s="316">
        <f t="shared" si="22"/>
      </c>
      <c r="AC126" s="316">
        <f t="shared" si="23"/>
      </c>
      <c r="AD126" s="316">
        <f t="shared" si="24"/>
      </c>
      <c r="AE126" s="316">
        <f t="shared" si="25"/>
      </c>
      <c r="AG126" s="316">
        <f t="shared" si="27"/>
        <v>0.888</v>
      </c>
      <c r="AH126" s="316">
        <f t="shared" si="28"/>
      </c>
      <c r="AI126" s="316">
        <f t="shared" si="29"/>
      </c>
      <c r="AJ126" s="316">
        <f t="shared" si="30"/>
      </c>
      <c r="AK126" s="316">
        <f t="shared" si="31"/>
      </c>
    </row>
    <row r="127" spans="1:37" ht="15.75">
      <c r="A127" s="145"/>
      <c r="B127" s="236" t="s">
        <v>356</v>
      </c>
      <c r="D127" s="145"/>
      <c r="E127" s="145"/>
      <c r="F127" s="145"/>
      <c r="G127" s="405">
        <v>1500</v>
      </c>
      <c r="H127" s="236" t="s">
        <v>452</v>
      </c>
      <c r="I127" s="145"/>
      <c r="K127" s="161"/>
      <c r="P127" s="312">
        <f t="shared" si="26"/>
        <v>0.02320644747691157</v>
      </c>
      <c r="Q127" s="247">
        <v>124</v>
      </c>
      <c r="R127" s="299">
        <f t="shared" si="32"/>
        <v>0.021666666666666667</v>
      </c>
      <c r="S127" s="250">
        <f t="shared" si="33"/>
        <v>0.888</v>
      </c>
      <c r="AA127" s="316">
        <f t="shared" si="21"/>
        <v>0.021666666666666667</v>
      </c>
      <c r="AB127" s="316">
        <f t="shared" si="22"/>
      </c>
      <c r="AC127" s="316">
        <f t="shared" si="23"/>
      </c>
      <c r="AD127" s="316">
        <f t="shared" si="24"/>
      </c>
      <c r="AE127" s="316">
        <f t="shared" si="25"/>
      </c>
      <c r="AG127" s="316">
        <f t="shared" si="27"/>
        <v>0.888</v>
      </c>
      <c r="AH127" s="316">
        <f t="shared" si="28"/>
      </c>
      <c r="AI127" s="316">
        <f t="shared" si="29"/>
      </c>
      <c r="AJ127" s="316">
        <f t="shared" si="30"/>
      </c>
      <c r="AK127" s="316">
        <f t="shared" si="31"/>
      </c>
    </row>
    <row r="128" spans="1:37" ht="15.75">
      <c r="A128" s="145"/>
      <c r="B128" s="145"/>
      <c r="C128" s="145"/>
      <c r="D128" s="145"/>
      <c r="E128" s="145"/>
      <c r="F128" s="145"/>
      <c r="G128" s="404"/>
      <c r="H128" s="145"/>
      <c r="I128" s="145"/>
      <c r="P128" s="312">
        <f t="shared" si="26"/>
        <v>0.023772670857541922</v>
      </c>
      <c r="Q128" s="247">
        <v>125</v>
      </c>
      <c r="R128" s="299">
        <f t="shared" si="32"/>
        <v>0.021666666666666667</v>
      </c>
      <c r="S128" s="250">
        <f t="shared" si="33"/>
        <v>0.888</v>
      </c>
      <c r="AA128" s="316">
        <f t="shared" si="21"/>
        <v>0.021666666666666667</v>
      </c>
      <c r="AB128" s="316">
        <f t="shared" si="22"/>
      </c>
      <c r="AC128" s="316">
        <f t="shared" si="23"/>
      </c>
      <c r="AD128" s="316">
        <f t="shared" si="24"/>
      </c>
      <c r="AE128" s="316">
        <f t="shared" si="25"/>
      </c>
      <c r="AG128" s="316">
        <f t="shared" si="27"/>
        <v>0.888</v>
      </c>
      <c r="AH128" s="316">
        <f t="shared" si="28"/>
      </c>
      <c r="AI128" s="316">
        <f t="shared" si="29"/>
      </c>
      <c r="AJ128" s="316">
        <f t="shared" si="30"/>
      </c>
      <c r="AK128" s="316">
        <f t="shared" si="31"/>
      </c>
    </row>
    <row r="129" spans="2:37" ht="15">
      <c r="B129" s="50" t="s">
        <v>83</v>
      </c>
      <c r="P129" s="312">
        <f t="shared" si="26"/>
        <v>0.02435270974858555</v>
      </c>
      <c r="Q129" s="247">
        <v>126</v>
      </c>
      <c r="R129" s="299">
        <f t="shared" si="32"/>
        <v>0.021666666666666667</v>
      </c>
      <c r="S129" s="250">
        <f t="shared" si="33"/>
        <v>0.888</v>
      </c>
      <c r="AA129" s="316">
        <f t="shared" si="21"/>
        <v>0.021666666666666667</v>
      </c>
      <c r="AB129" s="316">
        <f t="shared" si="22"/>
      </c>
      <c r="AC129" s="316">
        <f t="shared" si="23"/>
      </c>
      <c r="AD129" s="316">
        <f t="shared" si="24"/>
      </c>
      <c r="AE129" s="316">
        <f t="shared" si="25"/>
      </c>
      <c r="AG129" s="316">
        <f t="shared" si="27"/>
        <v>0.888</v>
      </c>
      <c r="AH129" s="316">
        <f t="shared" si="28"/>
      </c>
      <c r="AI129" s="316">
        <f t="shared" si="29"/>
      </c>
      <c r="AJ129" s="316">
        <f t="shared" si="30"/>
      </c>
      <c r="AK129" s="316">
        <f t="shared" si="31"/>
      </c>
    </row>
    <row r="130" spans="5:37" ht="15.75">
      <c r="E130" s="236" t="s">
        <v>357</v>
      </c>
      <c r="F130" s="145"/>
      <c r="G130" s="405">
        <v>4500</v>
      </c>
      <c r="H130" s="236" t="s">
        <v>453</v>
      </c>
      <c r="I130" s="161"/>
      <c r="P130" s="312">
        <f t="shared" si="26"/>
        <v>0.024946901240198938</v>
      </c>
      <c r="Q130" s="247">
        <v>127</v>
      </c>
      <c r="R130" s="299">
        <f t="shared" si="32"/>
        <v>0.021666666666666667</v>
      </c>
      <c r="S130" s="250">
        <f t="shared" si="33"/>
        <v>0.888</v>
      </c>
      <c r="AA130" s="316">
        <f t="shared" si="21"/>
        <v>0.021666666666666667</v>
      </c>
      <c r="AB130" s="316">
        <f t="shared" si="22"/>
      </c>
      <c r="AC130" s="316">
        <f t="shared" si="23"/>
      </c>
      <c r="AD130" s="316">
        <f t="shared" si="24"/>
      </c>
      <c r="AE130" s="316">
        <f t="shared" si="25"/>
      </c>
      <c r="AG130" s="316">
        <f t="shared" si="27"/>
        <v>0.888</v>
      </c>
      <c r="AH130" s="316">
        <f t="shared" si="28"/>
      </c>
      <c r="AI130" s="316">
        <f t="shared" si="29"/>
      </c>
      <c r="AJ130" s="316">
        <f t="shared" si="30"/>
      </c>
      <c r="AK130" s="316">
        <f t="shared" si="31"/>
      </c>
    </row>
    <row r="131" spans="5:37" ht="15.75">
      <c r="E131" s="236" t="s">
        <v>362</v>
      </c>
      <c r="F131" s="267"/>
      <c r="G131" s="407">
        <v>50</v>
      </c>
      <c r="H131" s="236" t="s">
        <v>358</v>
      </c>
      <c r="P131" s="312">
        <f t="shared" si="26"/>
        <v>0.025555590647335924</v>
      </c>
      <c r="Q131" s="247">
        <v>128</v>
      </c>
      <c r="R131" s="299">
        <f t="shared" si="32"/>
        <v>0.021666666666666667</v>
      </c>
      <c r="S131" s="250">
        <f t="shared" si="33"/>
        <v>0.888</v>
      </c>
      <c r="AA131" s="316">
        <f t="shared" si="21"/>
        <v>0.021666666666666667</v>
      </c>
      <c r="AB131" s="316">
        <f t="shared" si="22"/>
      </c>
      <c r="AC131" s="316">
        <f t="shared" si="23"/>
      </c>
      <c r="AD131" s="316">
        <f t="shared" si="24"/>
      </c>
      <c r="AE131" s="316">
        <f t="shared" si="25"/>
      </c>
      <c r="AG131" s="316">
        <f t="shared" si="27"/>
        <v>0.888</v>
      </c>
      <c r="AH131" s="316">
        <f t="shared" si="28"/>
      </c>
      <c r="AI131" s="316">
        <f t="shared" si="29"/>
      </c>
      <c r="AJ131" s="316">
        <f t="shared" si="30"/>
      </c>
      <c r="AK131" s="316">
        <f t="shared" si="31"/>
      </c>
    </row>
    <row r="132" spans="16:37" ht="15">
      <c r="P132" s="312">
        <f t="shared" si="26"/>
        <v>0.02617913171042783</v>
      </c>
      <c r="Q132" s="247">
        <v>129</v>
      </c>
      <c r="R132" s="299">
        <f t="shared" si="32"/>
        <v>0.021666666666666667</v>
      </c>
      <c r="S132" s="250">
        <f t="shared" si="33"/>
        <v>0.888</v>
      </c>
      <c r="AA132" s="316">
        <f aca="true" t="shared" si="34" ref="AA132:AA197">IF(P132&gt;=$F$17,IF(P132&lt;$F$18,R132,""),"")</f>
        <v>0.021666666666666667</v>
      </c>
      <c r="AB132" s="316">
        <f aca="true" t="shared" si="35" ref="AB132:AB197">IF(P132&gt;=$G$17,IF(P132&lt;$G$18,R132,""),"")</f>
      </c>
      <c r="AC132" s="316">
        <f aca="true" t="shared" si="36" ref="AC132:AC197">IF(P132&gt;=$H$17,IF(P132&lt;$H$18,R132,""),"")</f>
      </c>
      <c r="AD132" s="316">
        <f aca="true" t="shared" si="37" ref="AD132:AD197">IF(P132&gt;=$I$17,IF(P132&lt;$I$18,R132,""),"")</f>
      </c>
      <c r="AE132" s="316">
        <f aca="true" t="shared" si="38" ref="AE132:AE197">IF(P132&gt;=$J$17,IF(P132&lt;$J$18,R132,""),"")</f>
      </c>
      <c r="AG132" s="316">
        <f t="shared" si="27"/>
        <v>0.888</v>
      </c>
      <c r="AH132" s="316">
        <f t="shared" si="28"/>
      </c>
      <c r="AI132" s="316">
        <f t="shared" si="29"/>
      </c>
      <c r="AJ132" s="316">
        <f t="shared" si="30"/>
      </c>
      <c r="AK132" s="316">
        <f t="shared" si="31"/>
      </c>
    </row>
    <row r="133" spans="2:37" ht="15.75">
      <c r="B133" s="50" t="s">
        <v>68</v>
      </c>
      <c r="G133" s="406">
        <v>500</v>
      </c>
      <c r="H133" s="50" t="s">
        <v>144</v>
      </c>
      <c r="P133" s="312">
        <f aca="true" t="shared" si="39" ref="P133:P198">P132+(P132*R132/S132)</f>
        <v>0.02681788680096004</v>
      </c>
      <c r="Q133" s="247">
        <v>130</v>
      </c>
      <c r="R133" s="299">
        <f t="shared" si="32"/>
        <v>0.021666666666666667</v>
      </c>
      <c r="S133" s="250">
        <f t="shared" si="33"/>
        <v>0.888</v>
      </c>
      <c r="AA133" s="316">
        <f t="shared" si="34"/>
        <v>0.021666666666666667</v>
      </c>
      <c r="AB133" s="316">
        <f t="shared" si="35"/>
      </c>
      <c r="AC133" s="316">
        <f t="shared" si="36"/>
      </c>
      <c r="AD133" s="316">
        <f t="shared" si="37"/>
      </c>
      <c r="AE133" s="316">
        <f t="shared" si="38"/>
      </c>
      <c r="AG133" s="316">
        <f aca="true" t="shared" si="40" ref="AG133:AG198">IF(P133&gt;=$F$17,IF(P133&lt;$F$18,S133,""),"")</f>
        <v>0.888</v>
      </c>
      <c r="AH133" s="316">
        <f aca="true" t="shared" si="41" ref="AH133:AH198">IF(P133&gt;=$G$17,IF(P133&lt;$G$18,S133,""),"")</f>
      </c>
      <c r="AI133" s="316">
        <f aca="true" t="shared" si="42" ref="AI133:AI198">IF(P133&gt;=$H$17,IF(P133&lt;$H$18,S133,""),"")</f>
      </c>
      <c r="AJ133" s="316">
        <f aca="true" t="shared" si="43" ref="AJ133:AJ198">IF(P133&gt;=$I$17,IF(P133&lt;$I$18,S133,""),"")</f>
      </c>
      <c r="AK133" s="316">
        <f aca="true" t="shared" si="44" ref="AK133:AK198">IF(P133&gt;=$J$17,IF(P133&lt;$J$18,S133,""),"")</f>
      </c>
    </row>
    <row r="134" spans="16:37" ht="15">
      <c r="P134" s="312">
        <f t="shared" si="39"/>
        <v>0.027472227132064545</v>
      </c>
      <c r="Q134" s="247">
        <v>131</v>
      </c>
      <c r="R134" s="299">
        <f t="shared" si="32"/>
        <v>0.021666666666666667</v>
      </c>
      <c r="S134" s="250">
        <f t="shared" si="33"/>
        <v>0.888</v>
      </c>
      <c r="AA134" s="316">
        <f t="shared" si="34"/>
        <v>0.021666666666666667</v>
      </c>
      <c r="AB134" s="316">
        <f t="shared" si="35"/>
      </c>
      <c r="AC134" s="316">
        <f t="shared" si="36"/>
      </c>
      <c r="AD134" s="316">
        <f t="shared" si="37"/>
      </c>
      <c r="AE134" s="316">
        <f t="shared" si="38"/>
      </c>
      <c r="AG134" s="316">
        <f t="shared" si="40"/>
        <v>0.888</v>
      </c>
      <c r="AH134" s="316">
        <f t="shared" si="41"/>
      </c>
      <c r="AI134" s="316">
        <f t="shared" si="42"/>
      </c>
      <c r="AJ134" s="316">
        <f t="shared" si="43"/>
      </c>
      <c r="AK134" s="316">
        <f t="shared" si="44"/>
      </c>
    </row>
    <row r="135" spans="2:37" ht="15.75">
      <c r="B135" s="50" t="s">
        <v>143</v>
      </c>
      <c r="G135" s="130">
        <v>5</v>
      </c>
      <c r="H135" s="50" t="s">
        <v>142</v>
      </c>
      <c r="P135" s="312">
        <f t="shared" si="39"/>
        <v>0.028142532974250806</v>
      </c>
      <c r="Q135" s="247">
        <v>132</v>
      </c>
      <c r="R135" s="299">
        <f t="shared" si="32"/>
        <v>0.021666666666666667</v>
      </c>
      <c r="S135" s="250">
        <f t="shared" si="33"/>
        <v>0.888</v>
      </c>
      <c r="AA135" s="316">
        <f t="shared" si="34"/>
        <v>0.021666666666666667</v>
      </c>
      <c r="AB135" s="316">
        <f t="shared" si="35"/>
      </c>
      <c r="AC135" s="316">
        <f t="shared" si="36"/>
      </c>
      <c r="AD135" s="316">
        <f t="shared" si="37"/>
      </c>
      <c r="AE135" s="316">
        <f t="shared" si="38"/>
      </c>
      <c r="AG135" s="316">
        <f t="shared" si="40"/>
        <v>0.888</v>
      </c>
      <c r="AH135" s="316">
        <f t="shared" si="41"/>
      </c>
      <c r="AI135" s="316">
        <f t="shared" si="42"/>
      </c>
      <c r="AJ135" s="316">
        <f t="shared" si="43"/>
      </c>
      <c r="AK135" s="316">
        <f t="shared" si="44"/>
      </c>
    </row>
    <row r="136" spans="7:37" ht="15.75">
      <c r="G136" s="402"/>
      <c r="P136" s="312">
        <f t="shared" si="39"/>
        <v>0.02882919387640032</v>
      </c>
      <c r="Q136" s="247">
        <v>133</v>
      </c>
      <c r="R136" s="299">
        <f t="shared" si="32"/>
        <v>0.021666666666666667</v>
      </c>
      <c r="S136" s="250">
        <f t="shared" si="33"/>
        <v>0.888</v>
      </c>
      <c r="AA136" s="316">
        <f t="shared" si="34"/>
        <v>0.021666666666666667</v>
      </c>
      <c r="AB136" s="316">
        <f t="shared" si="35"/>
      </c>
      <c r="AC136" s="316">
        <f t="shared" si="36"/>
      </c>
      <c r="AD136" s="316">
        <f t="shared" si="37"/>
      </c>
      <c r="AE136" s="316">
        <f t="shared" si="38"/>
      </c>
      <c r="AG136" s="316">
        <f t="shared" si="40"/>
        <v>0.888</v>
      </c>
      <c r="AH136" s="316">
        <f t="shared" si="41"/>
      </c>
      <c r="AI136" s="316">
        <f t="shared" si="42"/>
      </c>
      <c r="AJ136" s="316">
        <f t="shared" si="43"/>
      </c>
      <c r="AK136" s="316">
        <f t="shared" si="44"/>
      </c>
    </row>
    <row r="137" spans="2:37" ht="15.75">
      <c r="B137" s="161" t="s">
        <v>402</v>
      </c>
      <c r="G137" s="352">
        <v>15</v>
      </c>
      <c r="H137" s="161" t="s">
        <v>403</v>
      </c>
      <c r="AA137" s="316"/>
      <c r="AB137" s="316"/>
      <c r="AC137" s="316"/>
      <c r="AD137" s="316"/>
      <c r="AE137" s="316"/>
      <c r="AG137" s="316"/>
      <c r="AH137" s="316"/>
      <c r="AI137" s="316"/>
      <c r="AJ137" s="316"/>
      <c r="AK137" s="316"/>
    </row>
    <row r="138" spans="27:37" ht="15">
      <c r="AA138" s="316"/>
      <c r="AB138" s="316"/>
      <c r="AC138" s="316"/>
      <c r="AD138" s="316"/>
      <c r="AE138" s="316"/>
      <c r="AG138" s="316"/>
      <c r="AH138" s="316"/>
      <c r="AI138" s="316"/>
      <c r="AJ138" s="316"/>
      <c r="AK138" s="316"/>
    </row>
    <row r="139" spans="2:37" ht="15">
      <c r="B139" s="50" t="s">
        <v>145</v>
      </c>
      <c r="P139" s="312">
        <f>P136+(P136*R136/S136)</f>
        <v>0.029532608892153332</v>
      </c>
      <c r="Q139" s="247">
        <v>134</v>
      </c>
      <c r="R139" s="299">
        <f t="shared" si="32"/>
        <v>0.021666666666666667</v>
      </c>
      <c r="S139" s="250">
        <f t="shared" si="33"/>
        <v>0.888</v>
      </c>
      <c r="AA139" s="316">
        <f t="shared" si="34"/>
        <v>0.021666666666666667</v>
      </c>
      <c r="AB139" s="316">
        <f t="shared" si="35"/>
      </c>
      <c r="AC139" s="316">
        <f t="shared" si="36"/>
      </c>
      <c r="AD139" s="316">
        <f t="shared" si="37"/>
      </c>
      <c r="AE139" s="316">
        <f t="shared" si="38"/>
      </c>
      <c r="AG139" s="316">
        <f t="shared" si="40"/>
        <v>0.888</v>
      </c>
      <c r="AH139" s="316">
        <f t="shared" si="41"/>
      </c>
      <c r="AI139" s="316">
        <f t="shared" si="42"/>
      </c>
      <c r="AJ139" s="316">
        <f t="shared" si="43"/>
      </c>
      <c r="AK139" s="316">
        <f t="shared" si="44"/>
      </c>
    </row>
    <row r="140" spans="3:37" ht="15.75">
      <c r="C140" s="161" t="s">
        <v>298</v>
      </c>
      <c r="G140" s="131">
        <v>7350</v>
      </c>
      <c r="H140" s="50" t="s">
        <v>144</v>
      </c>
      <c r="P140" s="312">
        <f t="shared" si="39"/>
        <v>0.030253186811819235</v>
      </c>
      <c r="Q140" s="247">
        <v>135</v>
      </c>
      <c r="R140" s="299">
        <f t="shared" si="32"/>
        <v>0.021666666666666667</v>
      </c>
      <c r="S140" s="250">
        <f t="shared" si="33"/>
        <v>0.888</v>
      </c>
      <c r="AA140" s="316">
        <f t="shared" si="34"/>
        <v>0.021666666666666667</v>
      </c>
      <c r="AB140" s="316">
        <f t="shared" si="35"/>
      </c>
      <c r="AC140" s="316">
        <f t="shared" si="36"/>
      </c>
      <c r="AD140" s="316">
        <f t="shared" si="37"/>
      </c>
      <c r="AE140" s="316">
        <f t="shared" si="38"/>
      </c>
      <c r="AG140" s="316">
        <f t="shared" si="40"/>
        <v>0.888</v>
      </c>
      <c r="AH140" s="316">
        <f t="shared" si="41"/>
      </c>
      <c r="AI140" s="316">
        <f t="shared" si="42"/>
      </c>
      <c r="AJ140" s="316">
        <f t="shared" si="43"/>
      </c>
      <c r="AK140" s="316">
        <f t="shared" si="44"/>
      </c>
    </row>
    <row r="141" spans="3:37" ht="15.75">
      <c r="C141" s="49" t="s">
        <v>250</v>
      </c>
      <c r="G141" s="408">
        <v>4.35</v>
      </c>
      <c r="H141" s="49" t="s">
        <v>251</v>
      </c>
      <c r="P141" s="312">
        <f t="shared" si="39"/>
        <v>0.030991346399945455</v>
      </c>
      <c r="Q141" s="247">
        <v>136</v>
      </c>
      <c r="R141" s="299">
        <f t="shared" si="32"/>
        <v>0.021666666666666667</v>
      </c>
      <c r="S141" s="250">
        <f t="shared" si="33"/>
        <v>0.888</v>
      </c>
      <c r="AA141" s="316">
        <f t="shared" si="34"/>
        <v>0.021666666666666667</v>
      </c>
      <c r="AB141" s="316">
        <f t="shared" si="35"/>
      </c>
      <c r="AC141" s="316">
        <f t="shared" si="36"/>
      </c>
      <c r="AD141" s="316">
        <f t="shared" si="37"/>
      </c>
      <c r="AE141" s="316">
        <f t="shared" si="38"/>
      </c>
      <c r="AG141" s="316">
        <f t="shared" si="40"/>
        <v>0.888</v>
      </c>
      <c r="AH141" s="316">
        <f t="shared" si="41"/>
      </c>
      <c r="AI141" s="316">
        <f t="shared" si="42"/>
      </c>
      <c r="AJ141" s="316">
        <f t="shared" si="43"/>
      </c>
      <c r="AK141" s="316">
        <f t="shared" si="44"/>
      </c>
    </row>
    <row r="142" spans="1:37" ht="7.5" customHeight="1">
      <c r="A142" s="166"/>
      <c r="B142" s="166"/>
      <c r="C142" s="166"/>
      <c r="D142" s="166"/>
      <c r="E142" s="166"/>
      <c r="F142" s="166"/>
      <c r="G142" s="166"/>
      <c r="H142" s="166"/>
      <c r="I142" s="166"/>
      <c r="J142" s="166"/>
      <c r="K142" s="166"/>
      <c r="P142" s="312">
        <f t="shared" si="39"/>
        <v>0.03174751663868286</v>
      </c>
      <c r="Q142" s="247">
        <v>137</v>
      </c>
      <c r="R142" s="299">
        <f t="shared" si="32"/>
        <v>0.021666666666666667</v>
      </c>
      <c r="S142" s="250">
        <f t="shared" si="33"/>
        <v>0.888</v>
      </c>
      <c r="AA142" s="316">
        <f t="shared" si="34"/>
        <v>0.021666666666666667</v>
      </c>
      <c r="AB142" s="316">
        <f t="shared" si="35"/>
      </c>
      <c r="AC142" s="316">
        <f t="shared" si="36"/>
      </c>
      <c r="AD142" s="316">
        <f t="shared" si="37"/>
      </c>
      <c r="AE142" s="316">
        <f t="shared" si="38"/>
      </c>
      <c r="AG142" s="316">
        <f t="shared" si="40"/>
        <v>0.888</v>
      </c>
      <c r="AH142" s="316">
        <f t="shared" si="41"/>
      </c>
      <c r="AI142" s="316">
        <f t="shared" si="42"/>
      </c>
      <c r="AJ142" s="316">
        <f t="shared" si="43"/>
      </c>
      <c r="AK142" s="316">
        <f t="shared" si="44"/>
      </c>
    </row>
    <row r="143" spans="1:37" ht="15">
      <c r="A143" s="50" t="s">
        <v>175</v>
      </c>
      <c r="P143" s="312">
        <f t="shared" si="39"/>
        <v>0.03252213697708916</v>
      </c>
      <c r="Q143" s="247">
        <v>138</v>
      </c>
      <c r="R143" s="299">
        <f t="shared" si="32"/>
        <v>0.021666666666666667</v>
      </c>
      <c r="S143" s="250">
        <f t="shared" si="33"/>
        <v>0.888</v>
      </c>
      <c r="AA143" s="316">
        <f t="shared" si="34"/>
        <v>0.021666666666666667</v>
      </c>
      <c r="AB143" s="316">
        <f t="shared" si="35"/>
      </c>
      <c r="AC143" s="316">
        <f t="shared" si="36"/>
      </c>
      <c r="AD143" s="316">
        <f t="shared" si="37"/>
      </c>
      <c r="AE143" s="316">
        <f t="shared" si="38"/>
      </c>
      <c r="AG143" s="316">
        <f t="shared" si="40"/>
        <v>0.888</v>
      </c>
      <c r="AH143" s="316">
        <f t="shared" si="41"/>
      </c>
      <c r="AI143" s="316">
        <f t="shared" si="42"/>
      </c>
      <c r="AJ143" s="316">
        <f t="shared" si="43"/>
      </c>
      <c r="AK143" s="316">
        <f t="shared" si="44"/>
      </c>
    </row>
    <row r="144" spans="4:37" ht="15">
      <c r="D144" s="50" t="s">
        <v>155</v>
      </c>
      <c r="P144" s="312">
        <f t="shared" si="39"/>
        <v>0.033315657586515134</v>
      </c>
      <c r="Q144" s="247">
        <v>139</v>
      </c>
      <c r="R144" s="299">
        <f t="shared" si="32"/>
        <v>0.021666666666666667</v>
      </c>
      <c r="S144" s="250">
        <f t="shared" si="33"/>
        <v>0.888</v>
      </c>
      <c r="AA144" s="316">
        <f t="shared" si="34"/>
        <v>0.021666666666666667</v>
      </c>
      <c r="AB144" s="316">
        <f t="shared" si="35"/>
      </c>
      <c r="AC144" s="316">
        <f t="shared" si="36"/>
      </c>
      <c r="AD144" s="316">
        <f t="shared" si="37"/>
      </c>
      <c r="AE144" s="316">
        <f t="shared" si="38"/>
      </c>
      <c r="AG144" s="316">
        <f t="shared" si="40"/>
        <v>0.888</v>
      </c>
      <c r="AH144" s="316">
        <f t="shared" si="41"/>
      </c>
      <c r="AI144" s="316">
        <f t="shared" si="42"/>
      </c>
      <c r="AJ144" s="316">
        <f t="shared" si="43"/>
      </c>
      <c r="AK144" s="316">
        <f t="shared" si="44"/>
      </c>
    </row>
    <row r="145" spans="4:37" ht="15">
      <c r="D145" s="50" t="s">
        <v>156</v>
      </c>
      <c r="P145" s="312">
        <f t="shared" si="39"/>
        <v>0.03412853962222215</v>
      </c>
      <c r="Q145" s="247">
        <v>140</v>
      </c>
      <c r="R145" s="299">
        <f t="shared" si="32"/>
        <v>0.021666666666666667</v>
      </c>
      <c r="S145" s="250">
        <f t="shared" si="33"/>
        <v>0.888</v>
      </c>
      <c r="AA145" s="316">
        <f t="shared" si="34"/>
        <v>0.021666666666666667</v>
      </c>
      <c r="AB145" s="316">
        <f t="shared" si="35"/>
      </c>
      <c r="AC145" s="316">
        <f t="shared" si="36"/>
      </c>
      <c r="AD145" s="316">
        <f t="shared" si="37"/>
      </c>
      <c r="AE145" s="316">
        <f t="shared" si="38"/>
      </c>
      <c r="AG145" s="316">
        <f t="shared" si="40"/>
        <v>0.888</v>
      </c>
      <c r="AH145" s="316">
        <f t="shared" si="41"/>
      </c>
      <c r="AI145" s="316">
        <f t="shared" si="42"/>
      </c>
      <c r="AJ145" s="316">
        <f t="shared" si="43"/>
      </c>
      <c r="AK145" s="316">
        <f t="shared" si="44"/>
      </c>
    </row>
    <row r="146" spans="1:37" ht="15">
      <c r="A146" s="165"/>
      <c r="B146" s="165"/>
      <c r="C146" s="165"/>
      <c r="D146" s="165"/>
      <c r="E146" s="165"/>
      <c r="F146" s="165"/>
      <c r="G146" s="165"/>
      <c r="H146" s="165"/>
      <c r="I146" s="165"/>
      <c r="J146" s="165"/>
      <c r="K146" s="165"/>
      <c r="P146" s="312">
        <f t="shared" si="39"/>
        <v>0.03496125549138297</v>
      </c>
      <c r="Q146" s="247">
        <v>141</v>
      </c>
      <c r="R146" s="299">
        <f t="shared" si="32"/>
        <v>0.021666666666666667</v>
      </c>
      <c r="S146" s="250">
        <f t="shared" si="33"/>
        <v>0.888</v>
      </c>
      <c r="AA146" s="316">
        <f t="shared" si="34"/>
        <v>0.021666666666666667</v>
      </c>
      <c r="AB146" s="316">
        <f t="shared" si="35"/>
      </c>
      <c r="AC146" s="316">
        <f t="shared" si="36"/>
      </c>
      <c r="AD146" s="316">
        <f t="shared" si="37"/>
      </c>
      <c r="AE146" s="316">
        <f t="shared" si="38"/>
      </c>
      <c r="AG146" s="316">
        <f t="shared" si="40"/>
        <v>0.888</v>
      </c>
      <c r="AH146" s="316">
        <f t="shared" si="41"/>
      </c>
      <c r="AI146" s="316">
        <f t="shared" si="42"/>
      </c>
      <c r="AJ146" s="316">
        <f t="shared" si="43"/>
      </c>
      <c r="AK146" s="316">
        <f t="shared" si="44"/>
      </c>
    </row>
    <row r="147" spans="16:37" ht="15">
      <c r="P147" s="312">
        <f t="shared" si="39"/>
        <v>0.03581428912762167</v>
      </c>
      <c r="Q147" s="247">
        <v>142</v>
      </c>
      <c r="R147" s="299">
        <f t="shared" si="32"/>
        <v>0.021666666666666667</v>
      </c>
      <c r="S147" s="250">
        <f t="shared" si="33"/>
        <v>0.888</v>
      </c>
      <c r="AA147" s="316">
        <f t="shared" si="34"/>
        <v>0.021666666666666667</v>
      </c>
      <c r="AB147" s="316">
        <f t="shared" si="35"/>
      </c>
      <c r="AC147" s="316">
        <f t="shared" si="36"/>
      </c>
      <c r="AD147" s="316">
        <f t="shared" si="37"/>
      </c>
      <c r="AE147" s="316">
        <f t="shared" si="38"/>
      </c>
      <c r="AG147" s="316">
        <f t="shared" si="40"/>
        <v>0.888</v>
      </c>
      <c r="AH147" s="316">
        <f t="shared" si="41"/>
      </c>
      <c r="AI147" s="316">
        <f t="shared" si="42"/>
      </c>
      <c r="AJ147" s="316">
        <f t="shared" si="43"/>
      </c>
      <c r="AK147" s="316">
        <f t="shared" si="44"/>
      </c>
    </row>
    <row r="148" spans="16:37" ht="15">
      <c r="P148" s="312">
        <f t="shared" si="39"/>
        <v>0.03668813627225208</v>
      </c>
      <c r="Q148" s="247">
        <v>143</v>
      </c>
      <c r="R148" s="299">
        <f t="shared" si="32"/>
        <v>0.021666666666666667</v>
      </c>
      <c r="S148" s="250">
        <f t="shared" si="33"/>
        <v>0.888</v>
      </c>
      <c r="AA148" s="316">
        <f t="shared" si="34"/>
        <v>0.021666666666666667</v>
      </c>
      <c r="AB148" s="316">
        <f t="shared" si="35"/>
      </c>
      <c r="AC148" s="316">
        <f t="shared" si="36"/>
      </c>
      <c r="AD148" s="316">
        <f t="shared" si="37"/>
      </c>
      <c r="AE148" s="316">
        <f t="shared" si="38"/>
      </c>
      <c r="AG148" s="316">
        <f t="shared" si="40"/>
        <v>0.888</v>
      </c>
      <c r="AH148" s="316">
        <f t="shared" si="41"/>
      </c>
      <c r="AI148" s="316">
        <f t="shared" si="42"/>
      </c>
      <c r="AJ148" s="316">
        <f t="shared" si="43"/>
      </c>
      <c r="AK148" s="316">
        <f t="shared" si="44"/>
      </c>
    </row>
    <row r="149" spans="16:37" ht="15">
      <c r="P149" s="312">
        <f t="shared" si="39"/>
        <v>0.037583304762378346</v>
      </c>
      <c r="Q149" s="247">
        <v>144</v>
      </c>
      <c r="R149" s="299">
        <f t="shared" si="32"/>
        <v>0.021666666666666667</v>
      </c>
      <c r="S149" s="250">
        <f t="shared" si="33"/>
        <v>0.888</v>
      </c>
      <c r="AA149" s="316">
        <f t="shared" si="34"/>
        <v>0.021666666666666667</v>
      </c>
      <c r="AB149" s="316">
        <f t="shared" si="35"/>
      </c>
      <c r="AC149" s="316">
        <f t="shared" si="36"/>
      </c>
      <c r="AD149" s="316">
        <f t="shared" si="37"/>
      </c>
      <c r="AE149" s="316">
        <f t="shared" si="38"/>
      </c>
      <c r="AG149" s="316">
        <f t="shared" si="40"/>
        <v>0.888</v>
      </c>
      <c r="AH149" s="316">
        <f t="shared" si="41"/>
      </c>
      <c r="AI149" s="316">
        <f t="shared" si="42"/>
      </c>
      <c r="AJ149" s="316">
        <f t="shared" si="43"/>
      </c>
      <c r="AK149" s="316">
        <f t="shared" si="44"/>
      </c>
    </row>
    <row r="150" spans="16:37" ht="15">
      <c r="P150" s="312">
        <f t="shared" si="39"/>
        <v>0.038500314826024964</v>
      </c>
      <c r="Q150" s="247">
        <v>145</v>
      </c>
      <c r="R150" s="299">
        <f t="shared" si="32"/>
        <v>0.021666666666666667</v>
      </c>
      <c r="S150" s="250">
        <f t="shared" si="33"/>
        <v>0.888</v>
      </c>
      <c r="AA150" s="316">
        <f t="shared" si="34"/>
        <v>0.021666666666666667</v>
      </c>
      <c r="AB150" s="316">
        <f t="shared" si="35"/>
      </c>
      <c r="AC150" s="316">
        <f t="shared" si="36"/>
      </c>
      <c r="AD150" s="316">
        <f t="shared" si="37"/>
      </c>
      <c r="AE150" s="316">
        <f t="shared" si="38"/>
      </c>
      <c r="AG150" s="316">
        <f t="shared" si="40"/>
        <v>0.888</v>
      </c>
      <c r="AH150" s="316">
        <f t="shared" si="41"/>
      </c>
      <c r="AI150" s="316">
        <f t="shared" si="42"/>
      </c>
      <c r="AJ150" s="316">
        <f t="shared" si="43"/>
      </c>
      <c r="AK150" s="316">
        <f t="shared" si="44"/>
      </c>
    </row>
    <row r="151" spans="16:37" ht="15">
      <c r="P151" s="312">
        <f t="shared" si="39"/>
        <v>0.039439699384467765</v>
      </c>
      <c r="Q151" s="247">
        <v>146</v>
      </c>
      <c r="R151" s="299">
        <f t="shared" si="32"/>
        <v>0.021666666666666667</v>
      </c>
      <c r="S151" s="250">
        <f t="shared" si="33"/>
        <v>0.888</v>
      </c>
      <c r="AA151" s="316">
        <f t="shared" si="34"/>
        <v>0.021666666666666667</v>
      </c>
      <c r="AB151" s="316">
        <f t="shared" si="35"/>
      </c>
      <c r="AC151" s="316">
        <f t="shared" si="36"/>
      </c>
      <c r="AD151" s="316">
        <f t="shared" si="37"/>
      </c>
      <c r="AE151" s="316">
        <f t="shared" si="38"/>
      </c>
      <c r="AG151" s="316">
        <f t="shared" si="40"/>
        <v>0.888</v>
      </c>
      <c r="AH151" s="316">
        <f t="shared" si="41"/>
      </c>
      <c r="AI151" s="316">
        <f t="shared" si="42"/>
      </c>
      <c r="AJ151" s="316">
        <f t="shared" si="43"/>
      </c>
      <c r="AK151" s="316">
        <f t="shared" si="44"/>
      </c>
    </row>
    <row r="152" spans="16:37" ht="15">
      <c r="P152" s="312">
        <f t="shared" si="39"/>
        <v>0.04040200436194164</v>
      </c>
      <c r="Q152" s="247">
        <v>147</v>
      </c>
      <c r="R152" s="299">
        <f t="shared" si="32"/>
        <v>0.021666666666666667</v>
      </c>
      <c r="S152" s="250">
        <f t="shared" si="33"/>
        <v>0.888</v>
      </c>
      <c r="AA152" s="316">
        <f t="shared" si="34"/>
        <v>0.021666666666666667</v>
      </c>
      <c r="AB152" s="316">
        <f t="shared" si="35"/>
      </c>
      <c r="AC152" s="316">
        <f t="shared" si="36"/>
      </c>
      <c r="AD152" s="316">
        <f t="shared" si="37"/>
      </c>
      <c r="AE152" s="316">
        <f t="shared" si="38"/>
      </c>
      <c r="AG152" s="316">
        <f t="shared" si="40"/>
        <v>0.888</v>
      </c>
      <c r="AH152" s="316">
        <f t="shared" si="41"/>
      </c>
      <c r="AI152" s="316">
        <f t="shared" si="42"/>
      </c>
      <c r="AJ152" s="316">
        <f t="shared" si="43"/>
      </c>
      <c r="AK152" s="316">
        <f t="shared" si="44"/>
      </c>
    </row>
    <row r="153" spans="16:37" ht="15">
      <c r="P153" s="312">
        <f t="shared" si="39"/>
        <v>0.041387789002904934</v>
      </c>
      <c r="Q153" s="247">
        <v>148</v>
      </c>
      <c r="R153" s="299">
        <f t="shared" si="32"/>
        <v>0.021666666666666667</v>
      </c>
      <c r="S153" s="250">
        <f t="shared" si="33"/>
        <v>0.888</v>
      </c>
      <c r="AA153" s="316">
        <f t="shared" si="34"/>
        <v>0.021666666666666667</v>
      </c>
      <c r="AB153" s="316">
        <f t="shared" si="35"/>
      </c>
      <c r="AC153" s="316">
        <f t="shared" si="36"/>
      </c>
      <c r="AD153" s="316">
        <f t="shared" si="37"/>
      </c>
      <c r="AE153" s="316">
        <f t="shared" si="38"/>
      </c>
      <c r="AG153" s="316">
        <f t="shared" si="40"/>
        <v>0.888</v>
      </c>
      <c r="AH153" s="316">
        <f t="shared" si="41"/>
      </c>
      <c r="AI153" s="316">
        <f t="shared" si="42"/>
      </c>
      <c r="AJ153" s="316">
        <f t="shared" si="43"/>
      </c>
      <c r="AK153" s="316">
        <f t="shared" si="44"/>
      </c>
    </row>
    <row r="154" spans="16:37" ht="15">
      <c r="P154" s="312">
        <f t="shared" si="39"/>
        <v>0.04239762619704488</v>
      </c>
      <c r="Q154" s="247">
        <v>149</v>
      </c>
      <c r="R154" s="299">
        <f>0.026/1.2</f>
        <v>0.021666666666666667</v>
      </c>
      <c r="S154" s="250">
        <f t="shared" si="33"/>
        <v>0.888</v>
      </c>
      <c r="AA154" s="316">
        <f t="shared" si="34"/>
        <v>0.021666666666666667</v>
      </c>
      <c r="AB154" s="316">
        <f t="shared" si="35"/>
      </c>
      <c r="AC154" s="316">
        <f t="shared" si="36"/>
      </c>
      <c r="AD154" s="316">
        <f t="shared" si="37"/>
      </c>
      <c r="AE154" s="316">
        <f t="shared" si="38"/>
      </c>
      <c r="AG154" s="316">
        <f t="shared" si="40"/>
        <v>0.888</v>
      </c>
      <c r="AH154" s="316">
        <f t="shared" si="41"/>
      </c>
      <c r="AI154" s="316">
        <f t="shared" si="42"/>
      </c>
      <c r="AJ154" s="316">
        <f t="shared" si="43"/>
      </c>
      <c r="AK154" s="316">
        <f t="shared" si="44"/>
      </c>
    </row>
    <row r="155" spans="16:37" ht="15">
      <c r="P155" s="312">
        <f t="shared" si="39"/>
        <v>0.04343210281221302</v>
      </c>
      <c r="Q155" s="247">
        <v>150</v>
      </c>
      <c r="R155" s="299">
        <f t="shared" si="32"/>
        <v>0.021666666666666667</v>
      </c>
      <c r="S155" s="250">
        <f t="shared" si="33"/>
        <v>0.888</v>
      </c>
      <c r="AA155" s="316">
        <f t="shared" si="34"/>
        <v>0.021666666666666667</v>
      </c>
      <c r="AB155" s="316">
        <f t="shared" si="35"/>
      </c>
      <c r="AC155" s="316">
        <f t="shared" si="36"/>
      </c>
      <c r="AD155" s="316">
        <f t="shared" si="37"/>
      </c>
      <c r="AE155" s="316">
        <f t="shared" si="38"/>
      </c>
      <c r="AG155" s="316">
        <f t="shared" si="40"/>
        <v>0.888</v>
      </c>
      <c r="AH155" s="316">
        <f t="shared" si="41"/>
      </c>
      <c r="AI155" s="316">
        <f t="shared" si="42"/>
      </c>
      <c r="AJ155" s="316">
        <f t="shared" si="43"/>
      </c>
      <c r="AK155" s="316">
        <f t="shared" si="44"/>
      </c>
    </row>
    <row r="156" spans="16:37" ht="15">
      <c r="P156" s="312">
        <f t="shared" si="39"/>
        <v>0.044491820035483985</v>
      </c>
      <c r="Q156" s="247">
        <v>151</v>
      </c>
      <c r="R156" s="299">
        <f>0.026/1.2</f>
        <v>0.021666666666666667</v>
      </c>
      <c r="S156" s="250">
        <f t="shared" si="33"/>
        <v>0.888</v>
      </c>
      <c r="AA156" s="316">
        <f t="shared" si="34"/>
        <v>0.021666666666666667</v>
      </c>
      <c r="AB156" s="316">
        <f t="shared" si="35"/>
      </c>
      <c r="AC156" s="316">
        <f t="shared" si="36"/>
      </c>
      <c r="AD156" s="316">
        <f t="shared" si="37"/>
      </c>
      <c r="AE156" s="316">
        <f t="shared" si="38"/>
      </c>
      <c r="AG156" s="316">
        <f t="shared" si="40"/>
        <v>0.888</v>
      </c>
      <c r="AH156" s="316">
        <f t="shared" si="41"/>
      </c>
      <c r="AI156" s="316">
        <f t="shared" si="42"/>
      </c>
      <c r="AJ156" s="316">
        <f t="shared" si="43"/>
      </c>
      <c r="AK156" s="316">
        <f t="shared" si="44"/>
      </c>
    </row>
    <row r="157" spans="16:37" ht="15">
      <c r="P157" s="312">
        <f t="shared" si="39"/>
        <v>0.04557739372253596</v>
      </c>
      <c r="Q157" s="247">
        <v>152</v>
      </c>
      <c r="R157" s="299">
        <f t="shared" si="32"/>
        <v>0.021666666666666667</v>
      </c>
      <c r="S157" s="250">
        <f t="shared" si="33"/>
        <v>0.888</v>
      </c>
      <c r="AA157" s="316">
        <f t="shared" si="34"/>
        <v>0.021666666666666667</v>
      </c>
      <c r="AB157" s="316">
        <f t="shared" si="35"/>
      </c>
      <c r="AC157" s="316">
        <f t="shared" si="36"/>
      </c>
      <c r="AD157" s="316">
        <f t="shared" si="37"/>
      </c>
      <c r="AE157" s="316">
        <f t="shared" si="38"/>
      </c>
      <c r="AG157" s="316">
        <f t="shared" si="40"/>
        <v>0.888</v>
      </c>
      <c r="AH157" s="316">
        <f t="shared" si="41"/>
      </c>
      <c r="AI157" s="316">
        <f t="shared" si="42"/>
      </c>
      <c r="AJ157" s="316">
        <f t="shared" si="43"/>
      </c>
      <c r="AK157" s="316">
        <f t="shared" si="44"/>
      </c>
    </row>
    <row r="158" spans="16:37" ht="15">
      <c r="P158" s="312">
        <f t="shared" si="39"/>
        <v>0.0466894547555558</v>
      </c>
      <c r="Q158" s="247">
        <v>153</v>
      </c>
      <c r="R158" s="299">
        <f t="shared" si="32"/>
        <v>0.021666666666666667</v>
      </c>
      <c r="S158" s="250">
        <f t="shared" si="33"/>
        <v>0.888</v>
      </c>
      <c r="AA158" s="316">
        <f t="shared" si="34"/>
        <v>0.021666666666666667</v>
      </c>
      <c r="AB158" s="316">
        <f t="shared" si="35"/>
      </c>
      <c r="AC158" s="316">
        <f t="shared" si="36"/>
      </c>
      <c r="AD158" s="316">
        <f t="shared" si="37"/>
      </c>
      <c r="AE158" s="316">
        <f t="shared" si="38"/>
      </c>
      <c r="AG158" s="316">
        <f t="shared" si="40"/>
        <v>0.888</v>
      </c>
      <c r="AH158" s="316">
        <f t="shared" si="41"/>
      </c>
      <c r="AI158" s="316">
        <f t="shared" si="42"/>
      </c>
      <c r="AJ158" s="316">
        <f t="shared" si="43"/>
      </c>
      <c r="AK158" s="316">
        <f t="shared" si="44"/>
      </c>
    </row>
    <row r="159" spans="16:37" ht="15">
      <c r="P159" s="312">
        <f t="shared" si="39"/>
        <v>0.04782864940987679</v>
      </c>
      <c r="Q159" s="247">
        <v>154</v>
      </c>
      <c r="R159" s="299">
        <f t="shared" si="32"/>
        <v>0.021666666666666667</v>
      </c>
      <c r="S159" s="250">
        <f t="shared" si="33"/>
        <v>0.888</v>
      </c>
      <c r="AA159" s="316">
        <f t="shared" si="34"/>
        <v>0.021666666666666667</v>
      </c>
      <c r="AB159" s="316">
        <f t="shared" si="35"/>
      </c>
      <c r="AC159" s="316">
        <f t="shared" si="36"/>
      </c>
      <c r="AD159" s="316">
        <f t="shared" si="37"/>
      </c>
      <c r="AE159" s="316">
        <f t="shared" si="38"/>
      </c>
      <c r="AG159" s="316">
        <f t="shared" si="40"/>
        <v>0.888</v>
      </c>
      <c r="AH159" s="316">
        <f t="shared" si="41"/>
      </c>
      <c r="AI159" s="316">
        <f t="shared" si="42"/>
      </c>
      <c r="AJ159" s="316">
        <f t="shared" si="43"/>
      </c>
      <c r="AK159" s="316">
        <f t="shared" si="44"/>
      </c>
    </row>
    <row r="160" spans="16:37" ht="15">
      <c r="P160" s="312">
        <f t="shared" si="39"/>
        <v>0.048995639729562224</v>
      </c>
      <c r="Q160" s="249">
        <v>155</v>
      </c>
      <c r="R160" s="299">
        <f t="shared" si="32"/>
        <v>0.021666666666666667</v>
      </c>
      <c r="S160" s="250">
        <f>0.74*1.2</f>
        <v>0.888</v>
      </c>
      <c r="T160" s="161" t="s">
        <v>383</v>
      </c>
      <c r="AA160" s="316">
        <f t="shared" si="34"/>
        <v>0.021666666666666667</v>
      </c>
      <c r="AB160" s="316">
        <f t="shared" si="35"/>
      </c>
      <c r="AC160" s="316">
        <f t="shared" si="36"/>
      </c>
      <c r="AD160" s="316">
        <f t="shared" si="37"/>
      </c>
      <c r="AE160" s="316">
        <f t="shared" si="38"/>
      </c>
      <c r="AG160" s="316">
        <f t="shared" si="40"/>
        <v>0.888</v>
      </c>
      <c r="AH160" s="316">
        <f t="shared" si="41"/>
      </c>
      <c r="AI160" s="316">
        <f t="shared" si="42"/>
      </c>
      <c r="AJ160" s="316">
        <f t="shared" si="43"/>
      </c>
      <c r="AK160" s="316">
        <f t="shared" si="44"/>
      </c>
    </row>
    <row r="161" spans="16:37" ht="15">
      <c r="P161" s="312">
        <f t="shared" si="39"/>
        <v>0.050191103912152896</v>
      </c>
      <c r="Q161" s="248">
        <v>156</v>
      </c>
      <c r="R161" s="299">
        <f aca="true" t="shared" si="45" ref="R161:R224">0.01725/1.2</f>
        <v>0.014375000000000002</v>
      </c>
      <c r="S161" s="250">
        <f>0.77*1.2</f>
        <v>0.9239999999999999</v>
      </c>
      <c r="AA161" s="316">
        <f t="shared" si="34"/>
      </c>
      <c r="AB161" s="316">
        <f t="shared" si="35"/>
        <v>0.014375000000000002</v>
      </c>
      <c r="AC161" s="316">
        <f t="shared" si="36"/>
      </c>
      <c r="AD161" s="316">
        <f t="shared" si="37"/>
      </c>
      <c r="AE161" s="316">
        <f t="shared" si="38"/>
      </c>
      <c r="AG161" s="316">
        <f t="shared" si="40"/>
      </c>
      <c r="AH161" s="316">
        <f t="shared" si="41"/>
        <v>0.9239999999999999</v>
      </c>
      <c r="AI161" s="316">
        <f t="shared" si="42"/>
      </c>
      <c r="AJ161" s="316">
        <f t="shared" si="43"/>
      </c>
      <c r="AK161" s="316">
        <f t="shared" si="44"/>
      </c>
    </row>
    <row r="162" spans="16:37" ht="15">
      <c r="P162" s="312">
        <f t="shared" si="39"/>
        <v>0.050971944949747265</v>
      </c>
      <c r="Q162" s="247">
        <v>157</v>
      </c>
      <c r="R162" s="299">
        <f t="shared" si="45"/>
        <v>0.014375000000000002</v>
      </c>
      <c r="S162" s="250">
        <f aca="true" t="shared" si="46" ref="S162:S225">0.77*1.2</f>
        <v>0.9239999999999999</v>
      </c>
      <c r="AA162" s="316">
        <f t="shared" si="34"/>
      </c>
      <c r="AB162" s="316">
        <f t="shared" si="35"/>
        <v>0.014375000000000002</v>
      </c>
      <c r="AC162" s="316">
        <f t="shared" si="36"/>
      </c>
      <c r="AD162" s="316">
        <f t="shared" si="37"/>
      </c>
      <c r="AE162" s="316">
        <f t="shared" si="38"/>
      </c>
      <c r="AG162" s="316">
        <f t="shared" si="40"/>
      </c>
      <c r="AH162" s="316">
        <f t="shared" si="41"/>
        <v>0.9239999999999999</v>
      </c>
      <c r="AI162" s="316">
        <f t="shared" si="42"/>
      </c>
      <c r="AJ162" s="316">
        <f t="shared" si="43"/>
      </c>
      <c r="AK162" s="316">
        <f t="shared" si="44"/>
      </c>
    </row>
    <row r="163" spans="16:37" ht="15">
      <c r="P163" s="312">
        <f t="shared" si="39"/>
        <v>0.05176493381192542</v>
      </c>
      <c r="Q163" s="247">
        <v>158</v>
      </c>
      <c r="R163" s="299">
        <f t="shared" si="45"/>
        <v>0.014375000000000002</v>
      </c>
      <c r="S163" s="250">
        <f t="shared" si="46"/>
        <v>0.9239999999999999</v>
      </c>
      <c r="AA163" s="316">
        <f t="shared" si="34"/>
      </c>
      <c r="AB163" s="316">
        <f t="shared" si="35"/>
        <v>0.014375000000000002</v>
      </c>
      <c r="AC163" s="316">
        <f t="shared" si="36"/>
      </c>
      <c r="AD163" s="316">
        <f t="shared" si="37"/>
      </c>
      <c r="AE163" s="316">
        <f t="shared" si="38"/>
      </c>
      <c r="AG163" s="316">
        <f t="shared" si="40"/>
      </c>
      <c r="AH163" s="316">
        <f t="shared" si="41"/>
        <v>0.9239999999999999</v>
      </c>
      <c r="AI163" s="316">
        <f t="shared" si="42"/>
      </c>
      <c r="AJ163" s="316">
        <f t="shared" si="43"/>
      </c>
      <c r="AK163" s="316">
        <f t="shared" si="44"/>
      </c>
    </row>
    <row r="164" spans="16:37" ht="15">
      <c r="P164" s="312">
        <f t="shared" si="39"/>
        <v>0.05257025948675922</v>
      </c>
      <c r="Q164" s="247">
        <v>159</v>
      </c>
      <c r="R164" s="299">
        <f t="shared" si="45"/>
        <v>0.014375000000000002</v>
      </c>
      <c r="S164" s="250">
        <f t="shared" si="46"/>
        <v>0.9239999999999999</v>
      </c>
      <c r="AA164" s="316">
        <f t="shared" si="34"/>
      </c>
      <c r="AB164" s="316">
        <f t="shared" si="35"/>
        <v>0.014375000000000002</v>
      </c>
      <c r="AC164" s="316">
        <f t="shared" si="36"/>
      </c>
      <c r="AD164" s="316">
        <f t="shared" si="37"/>
      </c>
      <c r="AE164" s="316">
        <f t="shared" si="38"/>
      </c>
      <c r="AG164" s="316">
        <f t="shared" si="40"/>
      </c>
      <c r="AH164" s="316">
        <f t="shared" si="41"/>
        <v>0.9239999999999999</v>
      </c>
      <c r="AI164" s="316">
        <f t="shared" si="42"/>
      </c>
      <c r="AJ164" s="316">
        <f t="shared" si="43"/>
      </c>
      <c r="AK164" s="316">
        <f t="shared" si="44"/>
      </c>
    </row>
    <row r="165" spans="16:37" ht="15">
      <c r="P165" s="312">
        <f t="shared" si="39"/>
        <v>0.053388113902475845</v>
      </c>
      <c r="Q165" s="247">
        <v>160</v>
      </c>
      <c r="R165" s="299">
        <f t="shared" si="45"/>
        <v>0.014375000000000002</v>
      </c>
      <c r="S165" s="250">
        <f t="shared" si="46"/>
        <v>0.9239999999999999</v>
      </c>
      <c r="AA165" s="316">
        <f t="shared" si="34"/>
      </c>
      <c r="AB165" s="316">
        <f t="shared" si="35"/>
        <v>0.014375000000000002</v>
      </c>
      <c r="AC165" s="316">
        <f t="shared" si="36"/>
      </c>
      <c r="AD165" s="316">
        <f t="shared" si="37"/>
      </c>
      <c r="AE165" s="316">
        <f t="shared" si="38"/>
      </c>
      <c r="AG165" s="316">
        <f t="shared" si="40"/>
      </c>
      <c r="AH165" s="316">
        <f t="shared" si="41"/>
        <v>0.9239999999999999</v>
      </c>
      <c r="AI165" s="316">
        <f t="shared" si="42"/>
      </c>
      <c r="AJ165" s="316">
        <f t="shared" si="43"/>
      </c>
      <c r="AK165" s="316">
        <f t="shared" si="44"/>
      </c>
    </row>
    <row r="166" spans="16:37" ht="15">
      <c r="P166" s="312">
        <f t="shared" si="39"/>
        <v>0.05421869197319889</v>
      </c>
      <c r="Q166" s="247">
        <v>161</v>
      </c>
      <c r="R166" s="299">
        <f t="shared" si="45"/>
        <v>0.014375000000000002</v>
      </c>
      <c r="S166" s="250">
        <f t="shared" si="46"/>
        <v>0.9239999999999999</v>
      </c>
      <c r="AA166" s="316">
        <f t="shared" si="34"/>
      </c>
      <c r="AB166" s="316">
        <f t="shared" si="35"/>
        <v>0.014375000000000002</v>
      </c>
      <c r="AC166" s="316">
        <f t="shared" si="36"/>
      </c>
      <c r="AD166" s="316">
        <f t="shared" si="37"/>
      </c>
      <c r="AE166" s="316">
        <f t="shared" si="38"/>
      </c>
      <c r="AG166" s="316">
        <f t="shared" si="40"/>
      </c>
      <c r="AH166" s="316">
        <f t="shared" si="41"/>
        <v>0.9239999999999999</v>
      </c>
      <c r="AI166" s="316">
        <f t="shared" si="42"/>
      </c>
      <c r="AJ166" s="316">
        <f t="shared" si="43"/>
      </c>
      <c r="AK166" s="316">
        <f t="shared" si="44"/>
      </c>
    </row>
    <row r="167" spans="16:37" ht="15">
      <c r="P167" s="312">
        <f t="shared" si="39"/>
        <v>0.05506219164540098</v>
      </c>
      <c r="Q167" s="247">
        <v>162</v>
      </c>
      <c r="R167" s="299">
        <f t="shared" si="45"/>
        <v>0.014375000000000002</v>
      </c>
      <c r="S167" s="250">
        <f t="shared" si="46"/>
        <v>0.9239999999999999</v>
      </c>
      <c r="AA167" s="316">
        <f t="shared" si="34"/>
      </c>
      <c r="AB167" s="316">
        <f t="shared" si="35"/>
        <v>0.014375000000000002</v>
      </c>
      <c r="AC167" s="316">
        <f t="shared" si="36"/>
      </c>
      <c r="AD167" s="316">
        <f t="shared" si="37"/>
      </c>
      <c r="AE167" s="316">
        <f t="shared" si="38"/>
      </c>
      <c r="AG167" s="316">
        <f t="shared" si="40"/>
      </c>
      <c r="AH167" s="316">
        <f t="shared" si="41"/>
        <v>0.9239999999999999</v>
      </c>
      <c r="AI167" s="316">
        <f t="shared" si="42"/>
      </c>
      <c r="AJ167" s="316">
        <f t="shared" si="43"/>
      </c>
      <c r="AK167" s="316">
        <f t="shared" si="44"/>
      </c>
    </row>
    <row r="168" spans="16:37" ht="15">
      <c r="P168" s="312">
        <f t="shared" si="39"/>
        <v>0.05591881394507916</v>
      </c>
      <c r="Q168" s="247">
        <v>163</v>
      </c>
      <c r="R168" s="299">
        <f t="shared" si="45"/>
        <v>0.014375000000000002</v>
      </c>
      <c r="S168" s="250">
        <f t="shared" si="46"/>
        <v>0.9239999999999999</v>
      </c>
      <c r="AA168" s="316">
        <f t="shared" si="34"/>
      </c>
      <c r="AB168" s="316">
        <f t="shared" si="35"/>
        <v>0.014375000000000002</v>
      </c>
      <c r="AC168" s="316">
        <f t="shared" si="36"/>
      </c>
      <c r="AD168" s="316">
        <f t="shared" si="37"/>
      </c>
      <c r="AE168" s="316">
        <f t="shared" si="38"/>
      </c>
      <c r="AG168" s="316">
        <f t="shared" si="40"/>
      </c>
      <c r="AH168" s="316">
        <f t="shared" si="41"/>
        <v>0.9239999999999999</v>
      </c>
      <c r="AI168" s="316">
        <f t="shared" si="42"/>
      </c>
      <c r="AJ168" s="316">
        <f t="shared" si="43"/>
      </c>
      <c r="AK168" s="316">
        <f t="shared" si="44"/>
      </c>
    </row>
    <row r="169" spans="16:37" ht="15">
      <c r="P169" s="312">
        <f t="shared" si="39"/>
        <v>0.05678876302566413</v>
      </c>
      <c r="Q169" s="247">
        <v>164</v>
      </c>
      <c r="R169" s="299">
        <f t="shared" si="45"/>
        <v>0.014375000000000002</v>
      </c>
      <c r="S169" s="250">
        <f t="shared" si="46"/>
        <v>0.9239999999999999</v>
      </c>
      <c r="AA169" s="316">
        <f t="shared" si="34"/>
      </c>
      <c r="AB169" s="316">
        <f t="shared" si="35"/>
        <v>0.014375000000000002</v>
      </c>
      <c r="AC169" s="316">
        <f t="shared" si="36"/>
      </c>
      <c r="AD169" s="316">
        <f t="shared" si="37"/>
      </c>
      <c r="AE169" s="316">
        <f t="shared" si="38"/>
      </c>
      <c r="AG169" s="316">
        <f t="shared" si="40"/>
      </c>
      <c r="AH169" s="316">
        <f t="shared" si="41"/>
        <v>0.9239999999999999</v>
      </c>
      <c r="AI169" s="316">
        <f t="shared" si="42"/>
      </c>
      <c r="AJ169" s="316">
        <f t="shared" si="43"/>
      </c>
      <c r="AK169" s="316">
        <f t="shared" si="44"/>
      </c>
    </row>
    <row r="170" spans="16:37" ht="15">
      <c r="P170" s="312">
        <f t="shared" si="39"/>
        <v>0.05767224621667487</v>
      </c>
      <c r="Q170" s="247">
        <v>165</v>
      </c>
      <c r="R170" s="299">
        <f t="shared" si="45"/>
        <v>0.014375000000000002</v>
      </c>
      <c r="S170" s="250">
        <f t="shared" si="46"/>
        <v>0.9239999999999999</v>
      </c>
      <c r="AA170" s="316">
        <f t="shared" si="34"/>
      </c>
      <c r="AB170" s="316">
        <f t="shared" si="35"/>
        <v>0.014375000000000002</v>
      </c>
      <c r="AC170" s="316">
        <f t="shared" si="36"/>
      </c>
      <c r="AD170" s="316">
        <f t="shared" si="37"/>
      </c>
      <c r="AE170" s="316">
        <f t="shared" si="38"/>
      </c>
      <c r="AG170" s="316">
        <f t="shared" si="40"/>
      </c>
      <c r="AH170" s="316">
        <f t="shared" si="41"/>
        <v>0.9239999999999999</v>
      </c>
      <c r="AI170" s="316">
        <f t="shared" si="42"/>
      </c>
      <c r="AJ170" s="316">
        <f t="shared" si="43"/>
      </c>
      <c r="AK170" s="316">
        <f t="shared" si="44"/>
      </c>
    </row>
    <row r="171" spans="16:37" ht="15">
      <c r="P171" s="312">
        <f t="shared" si="39"/>
        <v>0.05856947407313017</v>
      </c>
      <c r="Q171" s="247">
        <v>166</v>
      </c>
      <c r="R171" s="299">
        <f t="shared" si="45"/>
        <v>0.014375000000000002</v>
      </c>
      <c r="S171" s="250">
        <f t="shared" si="46"/>
        <v>0.9239999999999999</v>
      </c>
      <c r="AA171" s="316">
        <f t="shared" si="34"/>
      </c>
      <c r="AB171" s="316">
        <f t="shared" si="35"/>
        <v>0.014375000000000002</v>
      </c>
      <c r="AC171" s="316">
        <f t="shared" si="36"/>
      </c>
      <c r="AD171" s="316">
        <f t="shared" si="37"/>
      </c>
      <c r="AE171" s="316">
        <f t="shared" si="38"/>
      </c>
      <c r="AG171" s="316">
        <f t="shared" si="40"/>
      </c>
      <c r="AH171" s="316">
        <f t="shared" si="41"/>
        <v>0.9239999999999999</v>
      </c>
      <c r="AI171" s="316">
        <f t="shared" si="42"/>
      </c>
      <c r="AJ171" s="316">
        <f t="shared" si="43"/>
      </c>
      <c r="AK171" s="316">
        <f t="shared" si="44"/>
      </c>
    </row>
    <row r="172" spans="16:37" ht="15">
      <c r="P172" s="312">
        <f t="shared" si="39"/>
        <v>0.05948066042572892</v>
      </c>
      <c r="Q172" s="247">
        <v>167</v>
      </c>
      <c r="R172" s="299">
        <f t="shared" si="45"/>
        <v>0.014375000000000002</v>
      </c>
      <c r="S172" s="250">
        <f t="shared" si="46"/>
        <v>0.9239999999999999</v>
      </c>
      <c r="AA172" s="316">
        <f t="shared" si="34"/>
      </c>
      <c r="AB172" s="316">
        <f t="shared" si="35"/>
        <v>0.014375000000000002</v>
      </c>
      <c r="AC172" s="316">
        <f t="shared" si="36"/>
      </c>
      <c r="AD172" s="316">
        <f t="shared" si="37"/>
      </c>
      <c r="AE172" s="316">
        <f t="shared" si="38"/>
      </c>
      <c r="AG172" s="316">
        <f t="shared" si="40"/>
      </c>
      <c r="AH172" s="316">
        <f t="shared" si="41"/>
        <v>0.9239999999999999</v>
      </c>
      <c r="AI172" s="316">
        <f t="shared" si="42"/>
      </c>
      <c r="AJ172" s="316">
        <f t="shared" si="43"/>
      </c>
      <c r="AK172" s="316">
        <f t="shared" si="44"/>
      </c>
    </row>
    <row r="173" spans="16:37" ht="15">
      <c r="P173" s="312">
        <f t="shared" si="39"/>
        <v>0.060406022431811014</v>
      </c>
      <c r="Q173" s="247">
        <v>168</v>
      </c>
      <c r="R173" s="299">
        <f t="shared" si="45"/>
        <v>0.014375000000000002</v>
      </c>
      <c r="S173" s="250">
        <f t="shared" si="46"/>
        <v>0.9239999999999999</v>
      </c>
      <c r="AA173" s="316">
        <f t="shared" si="34"/>
      </c>
      <c r="AB173" s="316">
        <f t="shared" si="35"/>
        <v>0.014375000000000002</v>
      </c>
      <c r="AC173" s="316">
        <f t="shared" si="36"/>
      </c>
      <c r="AD173" s="316">
        <f t="shared" si="37"/>
      </c>
      <c r="AE173" s="316">
        <f t="shared" si="38"/>
      </c>
      <c r="AG173" s="316">
        <f t="shared" si="40"/>
      </c>
      <c r="AH173" s="316">
        <f t="shared" si="41"/>
        <v>0.9239999999999999</v>
      </c>
      <c r="AI173" s="316">
        <f t="shared" si="42"/>
      </c>
      <c r="AJ173" s="316">
        <f t="shared" si="43"/>
      </c>
      <c r="AK173" s="316">
        <f t="shared" si="44"/>
      </c>
    </row>
    <row r="174" spans="16:37" ht="15">
      <c r="P174" s="312">
        <f t="shared" si="39"/>
        <v>0.0613457806271111</v>
      </c>
      <c r="Q174" s="247">
        <v>169</v>
      </c>
      <c r="R174" s="299">
        <f t="shared" si="45"/>
        <v>0.014375000000000002</v>
      </c>
      <c r="S174" s="250">
        <f t="shared" si="46"/>
        <v>0.9239999999999999</v>
      </c>
      <c r="AA174" s="316">
        <f t="shared" si="34"/>
      </c>
      <c r="AB174" s="316">
        <f t="shared" si="35"/>
        <v>0.014375000000000002</v>
      </c>
      <c r="AC174" s="316">
        <f t="shared" si="36"/>
      </c>
      <c r="AD174" s="316">
        <f t="shared" si="37"/>
      </c>
      <c r="AE174" s="316">
        <f t="shared" si="38"/>
      </c>
      <c r="AG174" s="316">
        <f t="shared" si="40"/>
      </c>
      <c r="AH174" s="316">
        <f t="shared" si="41"/>
        <v>0.9239999999999999</v>
      </c>
      <c r="AI174" s="316">
        <f t="shared" si="42"/>
      </c>
      <c r="AJ174" s="316">
        <f t="shared" si="43"/>
      </c>
      <c r="AK174" s="316">
        <f t="shared" si="44"/>
      </c>
    </row>
    <row r="175" spans="16:37" ht="15">
      <c r="P175" s="312">
        <f t="shared" si="39"/>
        <v>0.06230015897831751</v>
      </c>
      <c r="Q175" s="247">
        <v>170</v>
      </c>
      <c r="R175" s="299">
        <f t="shared" si="45"/>
        <v>0.014375000000000002</v>
      </c>
      <c r="S175" s="250">
        <f t="shared" si="46"/>
        <v>0.9239999999999999</v>
      </c>
      <c r="AA175" s="316">
        <f t="shared" si="34"/>
      </c>
      <c r="AB175" s="316">
        <f t="shared" si="35"/>
        <v>0.014375000000000002</v>
      </c>
      <c r="AC175" s="316">
        <f t="shared" si="36"/>
      </c>
      <c r="AD175" s="316">
        <f t="shared" si="37"/>
      </c>
      <c r="AE175" s="316">
        <f t="shared" si="38"/>
      </c>
      <c r="AG175" s="316">
        <f t="shared" si="40"/>
      </c>
      <c r="AH175" s="316">
        <f t="shared" si="41"/>
        <v>0.9239999999999999</v>
      </c>
      <c r="AI175" s="316">
        <f t="shared" si="42"/>
      </c>
      <c r="AJ175" s="316">
        <f t="shared" si="43"/>
      </c>
      <c r="AK175" s="316">
        <f t="shared" si="44"/>
      </c>
    </row>
    <row r="176" spans="16:37" ht="15">
      <c r="P176" s="312">
        <f t="shared" si="39"/>
        <v>0.0632693849364488</v>
      </c>
      <c r="Q176" s="247">
        <v>171</v>
      </c>
      <c r="R176" s="299">
        <f t="shared" si="45"/>
        <v>0.014375000000000002</v>
      </c>
      <c r="S176" s="250">
        <f t="shared" si="46"/>
        <v>0.9239999999999999</v>
      </c>
      <c r="AA176" s="316">
        <f t="shared" si="34"/>
      </c>
      <c r="AB176" s="316">
        <f t="shared" si="35"/>
        <v>0.014375000000000002</v>
      </c>
      <c r="AC176" s="316">
        <f t="shared" si="36"/>
      </c>
      <c r="AD176" s="316">
        <f t="shared" si="37"/>
      </c>
      <c r="AE176" s="316">
        <f t="shared" si="38"/>
      </c>
      <c r="AG176" s="316">
        <f t="shared" si="40"/>
      </c>
      <c r="AH176" s="316">
        <f t="shared" si="41"/>
        <v>0.9239999999999999</v>
      </c>
      <c r="AI176" s="316">
        <f t="shared" si="42"/>
      </c>
      <c r="AJ176" s="316">
        <f t="shared" si="43"/>
      </c>
      <c r="AK176" s="316">
        <f t="shared" si="44"/>
      </c>
    </row>
    <row r="177" spans="16:37" ht="15">
      <c r="P177" s="312">
        <f t="shared" si="39"/>
        <v>0.06425368949106076</v>
      </c>
      <c r="Q177" s="247">
        <v>172</v>
      </c>
      <c r="R177" s="299">
        <f t="shared" si="45"/>
        <v>0.014375000000000002</v>
      </c>
      <c r="S177" s="250">
        <f t="shared" si="46"/>
        <v>0.9239999999999999</v>
      </c>
      <c r="AA177" s="316">
        <f t="shared" si="34"/>
      </c>
      <c r="AB177" s="316">
        <f t="shared" si="35"/>
        <v>0.014375000000000002</v>
      </c>
      <c r="AC177" s="316">
        <f t="shared" si="36"/>
      </c>
      <c r="AD177" s="316">
        <f t="shared" si="37"/>
      </c>
      <c r="AE177" s="316">
        <f t="shared" si="38"/>
      </c>
      <c r="AG177" s="316">
        <f t="shared" si="40"/>
      </c>
      <c r="AH177" s="316">
        <f t="shared" si="41"/>
        <v>0.9239999999999999</v>
      </c>
      <c r="AI177" s="316">
        <f t="shared" si="42"/>
      </c>
      <c r="AJ177" s="316">
        <f t="shared" si="43"/>
      </c>
      <c r="AK177" s="316">
        <f t="shared" si="44"/>
      </c>
    </row>
    <row r="178" spans="16:37" ht="15">
      <c r="P178" s="312">
        <f t="shared" si="39"/>
        <v>0.0652533072252967</v>
      </c>
      <c r="Q178" s="247">
        <v>173</v>
      </c>
      <c r="R178" s="299">
        <f t="shared" si="45"/>
        <v>0.014375000000000002</v>
      </c>
      <c r="S178" s="250">
        <f t="shared" si="46"/>
        <v>0.9239999999999999</v>
      </c>
      <c r="AA178" s="316">
        <f t="shared" si="34"/>
      </c>
      <c r="AB178" s="316">
        <f t="shared" si="35"/>
        <v>0.014375000000000002</v>
      </c>
      <c r="AC178" s="316">
        <f t="shared" si="36"/>
      </c>
      <c r="AD178" s="316">
        <f t="shared" si="37"/>
      </c>
      <c r="AE178" s="316">
        <f t="shared" si="38"/>
      </c>
      <c r="AG178" s="316">
        <f t="shared" si="40"/>
      </c>
      <c r="AH178" s="316">
        <f t="shared" si="41"/>
        <v>0.9239999999999999</v>
      </c>
      <c r="AI178" s="316">
        <f t="shared" si="42"/>
      </c>
      <c r="AJ178" s="316">
        <f t="shared" si="43"/>
      </c>
      <c r="AK178" s="316">
        <f t="shared" si="44"/>
      </c>
    </row>
    <row r="179" spans="16:37" ht="15">
      <c r="P179" s="312">
        <f t="shared" si="39"/>
        <v>0.06626847637179414</v>
      </c>
      <c r="Q179" s="247">
        <v>174</v>
      </c>
      <c r="R179" s="299">
        <f t="shared" si="45"/>
        <v>0.014375000000000002</v>
      </c>
      <c r="S179" s="250">
        <f t="shared" si="46"/>
        <v>0.9239999999999999</v>
      </c>
      <c r="AA179" s="316">
        <f t="shared" si="34"/>
      </c>
      <c r="AB179" s="316">
        <f t="shared" si="35"/>
        <v>0.014375000000000002</v>
      </c>
      <c r="AC179" s="316">
        <f t="shared" si="36"/>
      </c>
      <c r="AD179" s="316">
        <f t="shared" si="37"/>
      </c>
      <c r="AE179" s="316">
        <f t="shared" si="38"/>
      </c>
      <c r="AG179" s="316">
        <f t="shared" si="40"/>
      </c>
      <c r="AH179" s="316">
        <f t="shared" si="41"/>
        <v>0.9239999999999999</v>
      </c>
      <c r="AI179" s="316">
        <f t="shared" si="42"/>
      </c>
      <c r="AJ179" s="316">
        <f t="shared" si="43"/>
      </c>
      <c r="AK179" s="316">
        <f t="shared" si="44"/>
      </c>
    </row>
    <row r="180" spans="16:37" ht="15">
      <c r="P180" s="312">
        <f t="shared" si="39"/>
        <v>0.0672994388694614</v>
      </c>
      <c r="Q180" s="247">
        <v>175</v>
      </c>
      <c r="R180" s="299">
        <f t="shared" si="45"/>
        <v>0.014375000000000002</v>
      </c>
      <c r="S180" s="250">
        <f t="shared" si="46"/>
        <v>0.9239999999999999</v>
      </c>
      <c r="AA180" s="316">
        <f t="shared" si="34"/>
      </c>
      <c r="AB180" s="316">
        <f t="shared" si="35"/>
        <v>0.014375000000000002</v>
      </c>
      <c r="AC180" s="316">
        <f t="shared" si="36"/>
      </c>
      <c r="AD180" s="316">
        <f t="shared" si="37"/>
      </c>
      <c r="AE180" s="316">
        <f t="shared" si="38"/>
      </c>
      <c r="AG180" s="316">
        <f t="shared" si="40"/>
      </c>
      <c r="AH180" s="316">
        <f t="shared" si="41"/>
        <v>0.9239999999999999</v>
      </c>
      <c r="AI180" s="316">
        <f t="shared" si="42"/>
      </c>
      <c r="AJ180" s="316">
        <f t="shared" si="43"/>
      </c>
      <c r="AK180" s="316">
        <f t="shared" si="44"/>
      </c>
    </row>
    <row r="181" spans="16:37" ht="15">
      <c r="P181" s="312">
        <f t="shared" si="39"/>
        <v>0.06834644042113727</v>
      </c>
      <c r="Q181" s="247">
        <v>176</v>
      </c>
      <c r="R181" s="299">
        <f t="shared" si="45"/>
        <v>0.014375000000000002</v>
      </c>
      <c r="S181" s="250">
        <f t="shared" si="46"/>
        <v>0.9239999999999999</v>
      </c>
      <c r="AA181" s="316">
        <f t="shared" si="34"/>
      </c>
      <c r="AB181" s="316">
        <f t="shared" si="35"/>
        <v>0.014375000000000002</v>
      </c>
      <c r="AC181" s="316">
        <f t="shared" si="36"/>
      </c>
      <c r="AD181" s="316">
        <f t="shared" si="37"/>
      </c>
      <c r="AE181" s="316">
        <f t="shared" si="38"/>
      </c>
      <c r="AG181" s="316">
        <f t="shared" si="40"/>
      </c>
      <c r="AH181" s="316">
        <f t="shared" si="41"/>
        <v>0.9239999999999999</v>
      </c>
      <c r="AI181" s="316">
        <f t="shared" si="42"/>
      </c>
      <c r="AJ181" s="316">
        <f t="shared" si="43"/>
      </c>
      <c r="AK181" s="316">
        <f t="shared" si="44"/>
      </c>
    </row>
    <row r="182" spans="16:37" ht="15">
      <c r="P182" s="312">
        <f t="shared" si="39"/>
        <v>0.06940973055214793</v>
      </c>
      <c r="Q182" s="247">
        <v>177</v>
      </c>
      <c r="R182" s="299">
        <f t="shared" si="45"/>
        <v>0.014375000000000002</v>
      </c>
      <c r="S182" s="250">
        <f t="shared" si="46"/>
        <v>0.9239999999999999</v>
      </c>
      <c r="AA182" s="316">
        <f t="shared" si="34"/>
      </c>
      <c r="AB182" s="316">
        <f t="shared" si="35"/>
        <v>0.014375000000000002</v>
      </c>
      <c r="AC182" s="316">
        <f t="shared" si="36"/>
      </c>
      <c r="AD182" s="316">
        <f t="shared" si="37"/>
      </c>
      <c r="AE182" s="316">
        <f t="shared" si="38"/>
      </c>
      <c r="AG182" s="316">
        <f t="shared" si="40"/>
      </c>
      <c r="AH182" s="316">
        <f t="shared" si="41"/>
        <v>0.9239999999999999</v>
      </c>
      <c r="AI182" s="316">
        <f t="shared" si="42"/>
      </c>
      <c r="AJ182" s="316">
        <f t="shared" si="43"/>
      </c>
      <c r="AK182" s="316">
        <f t="shared" si="44"/>
      </c>
    </row>
    <row r="183" spans="16:37" ht="15">
      <c r="P183" s="312">
        <f t="shared" si="39"/>
        <v>0.07048956266977469</v>
      </c>
      <c r="Q183" s="247">
        <v>178</v>
      </c>
      <c r="R183" s="299">
        <f t="shared" si="45"/>
        <v>0.014375000000000002</v>
      </c>
      <c r="S183" s="250">
        <f t="shared" si="46"/>
        <v>0.9239999999999999</v>
      </c>
      <c r="AA183" s="316">
        <f t="shared" si="34"/>
      </c>
      <c r="AB183" s="316">
        <f t="shared" si="35"/>
        <v>0.014375000000000002</v>
      </c>
      <c r="AC183" s="316">
        <f t="shared" si="36"/>
      </c>
      <c r="AD183" s="316">
        <f t="shared" si="37"/>
      </c>
      <c r="AE183" s="316">
        <f t="shared" si="38"/>
      </c>
      <c r="AG183" s="316">
        <f t="shared" si="40"/>
      </c>
      <c r="AH183" s="316">
        <f t="shared" si="41"/>
        <v>0.9239999999999999</v>
      </c>
      <c r="AI183" s="316">
        <f t="shared" si="42"/>
      </c>
      <c r="AJ183" s="316">
        <f t="shared" si="43"/>
      </c>
      <c r="AK183" s="316">
        <f t="shared" si="44"/>
      </c>
    </row>
    <row r="184" spans="16:37" ht="15">
      <c r="P184" s="312">
        <f t="shared" si="39"/>
        <v>0.07158619412364699</v>
      </c>
      <c r="Q184" s="247">
        <v>179</v>
      </c>
      <c r="R184" s="299">
        <f t="shared" si="45"/>
        <v>0.014375000000000002</v>
      </c>
      <c r="S184" s="250">
        <f t="shared" si="46"/>
        <v>0.9239999999999999</v>
      </c>
      <c r="AA184" s="316">
        <f t="shared" si="34"/>
      </c>
      <c r="AB184" s="316">
        <f t="shared" si="35"/>
        <v>0.014375000000000002</v>
      </c>
      <c r="AC184" s="316">
        <f t="shared" si="36"/>
      </c>
      <c r="AD184" s="316">
        <f t="shared" si="37"/>
      </c>
      <c r="AE184" s="316">
        <f t="shared" si="38"/>
      </c>
      <c r="AG184" s="316">
        <f t="shared" si="40"/>
      </c>
      <c r="AH184" s="316">
        <f t="shared" si="41"/>
        <v>0.9239999999999999</v>
      </c>
      <c r="AI184" s="316">
        <f t="shared" si="42"/>
      </c>
      <c r="AJ184" s="316">
        <f t="shared" si="43"/>
      </c>
      <c r="AK184" s="316">
        <f t="shared" si="44"/>
      </c>
    </row>
    <row r="185" spans="16:37" ht="15">
      <c r="P185" s="312">
        <f t="shared" si="39"/>
        <v>0.07269988626707494</v>
      </c>
      <c r="Q185" s="247">
        <v>180</v>
      </c>
      <c r="R185" s="299">
        <f t="shared" si="45"/>
        <v>0.014375000000000002</v>
      </c>
      <c r="S185" s="250">
        <f t="shared" si="46"/>
        <v>0.9239999999999999</v>
      </c>
      <c r="AA185" s="316">
        <f t="shared" si="34"/>
      </c>
      <c r="AB185" s="316">
        <f t="shared" si="35"/>
        <v>0.014375000000000002</v>
      </c>
      <c r="AC185" s="316">
        <f t="shared" si="36"/>
      </c>
      <c r="AD185" s="316">
        <f t="shared" si="37"/>
      </c>
      <c r="AE185" s="316">
        <f t="shared" si="38"/>
      </c>
      <c r="AG185" s="316">
        <f t="shared" si="40"/>
      </c>
      <c r="AH185" s="316">
        <f t="shared" si="41"/>
        <v>0.9239999999999999</v>
      </c>
      <c r="AI185" s="316">
        <f t="shared" si="42"/>
      </c>
      <c r="AJ185" s="316">
        <f t="shared" si="43"/>
      </c>
      <c r="AK185" s="316">
        <f t="shared" si="44"/>
      </c>
    </row>
    <row r="186" spans="16:37" ht="15">
      <c r="P186" s="312">
        <f t="shared" si="39"/>
        <v>0.07383090451933598</v>
      </c>
      <c r="Q186" s="247">
        <v>181</v>
      </c>
      <c r="R186" s="299">
        <f t="shared" si="45"/>
        <v>0.014375000000000002</v>
      </c>
      <c r="S186" s="250">
        <f t="shared" si="46"/>
        <v>0.9239999999999999</v>
      </c>
      <c r="AA186" s="316">
        <f t="shared" si="34"/>
      </c>
      <c r="AB186" s="316">
        <f t="shared" si="35"/>
        <v>0.014375000000000002</v>
      </c>
      <c r="AC186" s="316">
        <f t="shared" si="36"/>
      </c>
      <c r="AD186" s="316">
        <f t="shared" si="37"/>
      </c>
      <c r="AE186" s="316">
        <f t="shared" si="38"/>
      </c>
      <c r="AG186" s="316">
        <f t="shared" si="40"/>
      </c>
      <c r="AH186" s="316">
        <f t="shared" si="41"/>
        <v>0.9239999999999999</v>
      </c>
      <c r="AI186" s="316">
        <f t="shared" si="42"/>
      </c>
      <c r="AJ186" s="316">
        <f t="shared" si="43"/>
      </c>
      <c r="AK186" s="316">
        <f t="shared" si="44"/>
      </c>
    </row>
    <row r="187" spans="16:37" ht="15">
      <c r="P187" s="312">
        <f t="shared" si="39"/>
        <v>0.07497951842893062</v>
      </c>
      <c r="Q187" s="247">
        <v>182</v>
      </c>
      <c r="R187" s="299">
        <f t="shared" si="45"/>
        <v>0.014375000000000002</v>
      </c>
      <c r="S187" s="250">
        <f t="shared" si="46"/>
        <v>0.9239999999999999</v>
      </c>
      <c r="AA187" s="316">
        <f t="shared" si="34"/>
      </c>
      <c r="AB187" s="316">
        <f t="shared" si="35"/>
        <v>0.014375000000000002</v>
      </c>
      <c r="AC187" s="316">
        <f t="shared" si="36"/>
      </c>
      <c r="AD187" s="316">
        <f t="shared" si="37"/>
      </c>
      <c r="AE187" s="316">
        <f t="shared" si="38"/>
      </c>
      <c r="AG187" s="316">
        <f t="shared" si="40"/>
      </c>
      <c r="AH187" s="316">
        <f t="shared" si="41"/>
        <v>0.9239999999999999</v>
      </c>
      <c r="AI187" s="316">
        <f t="shared" si="42"/>
      </c>
      <c r="AJ187" s="316">
        <f t="shared" si="43"/>
      </c>
      <c r="AK187" s="316">
        <f t="shared" si="44"/>
      </c>
    </row>
    <row r="188" spans="16:37" ht="15">
      <c r="P188" s="312">
        <f t="shared" si="39"/>
        <v>0.07614600173782227</v>
      </c>
      <c r="Q188" s="247">
        <v>183</v>
      </c>
      <c r="R188" s="299">
        <f t="shared" si="45"/>
        <v>0.014375000000000002</v>
      </c>
      <c r="S188" s="250">
        <f t="shared" si="46"/>
        <v>0.9239999999999999</v>
      </c>
      <c r="AA188" s="316">
        <f t="shared" si="34"/>
      </c>
      <c r="AB188" s="316">
        <f t="shared" si="35"/>
        <v>0.014375000000000002</v>
      </c>
      <c r="AC188" s="316">
        <f t="shared" si="36"/>
      </c>
      <c r="AD188" s="316">
        <f t="shared" si="37"/>
      </c>
      <c r="AE188" s="316">
        <f t="shared" si="38"/>
      </c>
      <c r="AG188" s="316">
        <f t="shared" si="40"/>
      </c>
      <c r="AH188" s="316">
        <f t="shared" si="41"/>
        <v>0.9239999999999999</v>
      </c>
      <c r="AI188" s="316">
        <f t="shared" si="42"/>
      </c>
      <c r="AJ188" s="316">
        <f t="shared" si="43"/>
      </c>
      <c r="AK188" s="316">
        <f t="shared" si="44"/>
      </c>
    </row>
    <row r="189" spans="16:37" ht="15">
      <c r="P189" s="312">
        <f t="shared" si="39"/>
        <v>0.07733063244667637</v>
      </c>
      <c r="Q189" s="247">
        <v>184</v>
      </c>
      <c r="R189" s="299">
        <f t="shared" si="45"/>
        <v>0.014375000000000002</v>
      </c>
      <c r="S189" s="250">
        <f t="shared" si="46"/>
        <v>0.9239999999999999</v>
      </c>
      <c r="AA189" s="316">
        <f t="shared" si="34"/>
      </c>
      <c r="AB189" s="316">
        <f t="shared" si="35"/>
        <v>0.014375000000000002</v>
      </c>
      <c r="AC189" s="316">
        <f t="shared" si="36"/>
      </c>
      <c r="AD189" s="316">
        <f t="shared" si="37"/>
      </c>
      <c r="AE189" s="316">
        <f t="shared" si="38"/>
      </c>
      <c r="AG189" s="316">
        <f t="shared" si="40"/>
      </c>
      <c r="AH189" s="316">
        <f t="shared" si="41"/>
        <v>0.9239999999999999</v>
      </c>
      <c r="AI189" s="316">
        <f t="shared" si="42"/>
      </c>
      <c r="AJ189" s="316">
        <f t="shared" si="43"/>
      </c>
      <c r="AK189" s="316">
        <f t="shared" si="44"/>
      </c>
    </row>
    <row r="190" spans="16:37" ht="15">
      <c r="P190" s="312">
        <f t="shared" si="39"/>
        <v>0.07853369288111466</v>
      </c>
      <c r="Q190" s="247">
        <v>185</v>
      </c>
      <c r="R190" s="299">
        <f t="shared" si="45"/>
        <v>0.014375000000000002</v>
      </c>
      <c r="S190" s="250">
        <f t="shared" si="46"/>
        <v>0.9239999999999999</v>
      </c>
      <c r="AA190" s="316">
        <f t="shared" si="34"/>
      </c>
      <c r="AB190" s="316">
        <f t="shared" si="35"/>
        <v>0.014375000000000002</v>
      </c>
      <c r="AC190" s="316">
        <f t="shared" si="36"/>
      </c>
      <c r="AD190" s="316">
        <f t="shared" si="37"/>
      </c>
      <c r="AE190" s="316">
        <f t="shared" si="38"/>
      </c>
      <c r="AG190" s="316">
        <f t="shared" si="40"/>
      </c>
      <c r="AH190" s="316">
        <f t="shared" si="41"/>
        <v>0.9239999999999999</v>
      </c>
      <c r="AI190" s="316">
        <f t="shared" si="42"/>
      </c>
      <c r="AJ190" s="316">
        <f t="shared" si="43"/>
      </c>
      <c r="AK190" s="316">
        <f t="shared" si="44"/>
      </c>
    </row>
    <row r="191" spans="16:37" ht="15">
      <c r="P191" s="312">
        <f t="shared" si="39"/>
        <v>0.07975546975899996</v>
      </c>
      <c r="Q191" s="247">
        <v>186</v>
      </c>
      <c r="R191" s="299">
        <f t="shared" si="45"/>
        <v>0.014375000000000002</v>
      </c>
      <c r="S191" s="250">
        <f t="shared" si="46"/>
        <v>0.9239999999999999</v>
      </c>
      <c r="AA191" s="316">
        <f t="shared" si="34"/>
      </c>
      <c r="AB191" s="316">
        <f t="shared" si="35"/>
        <v>0.014375000000000002</v>
      </c>
      <c r="AC191" s="316">
        <f t="shared" si="36"/>
      </c>
      <c r="AD191" s="316">
        <f t="shared" si="37"/>
      </c>
      <c r="AE191" s="316">
        <f t="shared" si="38"/>
      </c>
      <c r="AG191" s="316">
        <f t="shared" si="40"/>
      </c>
      <c r="AH191" s="316">
        <f t="shared" si="41"/>
        <v>0.9239999999999999</v>
      </c>
      <c r="AI191" s="316">
        <f t="shared" si="42"/>
      </c>
      <c r="AJ191" s="316">
        <f t="shared" si="43"/>
      </c>
      <c r="AK191" s="316">
        <f t="shared" si="44"/>
      </c>
    </row>
    <row r="192" spans="16:37" ht="15">
      <c r="P192" s="312">
        <f t="shared" si="39"/>
        <v>0.08099625425876794</v>
      </c>
      <c r="Q192" s="247">
        <v>187</v>
      </c>
      <c r="R192" s="299">
        <f t="shared" si="45"/>
        <v>0.014375000000000002</v>
      </c>
      <c r="S192" s="250">
        <f t="shared" si="46"/>
        <v>0.9239999999999999</v>
      </c>
      <c r="AA192" s="316">
        <f t="shared" si="34"/>
      </c>
      <c r="AB192" s="316">
        <f t="shared" si="35"/>
        <v>0.014375000000000002</v>
      </c>
      <c r="AC192" s="316">
        <f t="shared" si="36"/>
      </c>
      <c r="AD192" s="316">
        <f t="shared" si="37"/>
      </c>
      <c r="AE192" s="316">
        <f t="shared" si="38"/>
      </c>
      <c r="AG192" s="316">
        <f t="shared" si="40"/>
      </c>
      <c r="AH192" s="316">
        <f t="shared" si="41"/>
        <v>0.9239999999999999</v>
      </c>
      <c r="AI192" s="316">
        <f t="shared" si="42"/>
      </c>
      <c r="AJ192" s="316">
        <f t="shared" si="43"/>
      </c>
      <c r="AK192" s="316">
        <f t="shared" si="44"/>
      </c>
    </row>
    <row r="193" spans="16:37" ht="15">
      <c r="P193" s="312">
        <f t="shared" si="39"/>
        <v>0.08225634208882182</v>
      </c>
      <c r="Q193" s="247">
        <v>188</v>
      </c>
      <c r="R193" s="299">
        <f t="shared" si="45"/>
        <v>0.014375000000000002</v>
      </c>
      <c r="S193" s="250">
        <f t="shared" si="46"/>
        <v>0.9239999999999999</v>
      </c>
      <c r="AA193" s="316">
        <f t="shared" si="34"/>
      </c>
      <c r="AB193" s="316">
        <f t="shared" si="35"/>
        <v>0.014375000000000002</v>
      </c>
      <c r="AC193" s="316">
        <f t="shared" si="36"/>
      </c>
      <c r="AD193" s="316">
        <f t="shared" si="37"/>
      </c>
      <c r="AE193" s="316">
        <f t="shared" si="38"/>
      </c>
      <c r="AG193" s="316">
        <f t="shared" si="40"/>
      </c>
      <c r="AH193" s="316">
        <f t="shared" si="41"/>
        <v>0.9239999999999999</v>
      </c>
      <c r="AI193" s="316">
        <f t="shared" si="42"/>
      </c>
      <c r="AJ193" s="316">
        <f t="shared" si="43"/>
      </c>
      <c r="AK193" s="316">
        <f t="shared" si="44"/>
      </c>
    </row>
    <row r="194" spans="16:37" ht="15">
      <c r="P194" s="312">
        <f t="shared" si="39"/>
        <v>0.08353603355800668</v>
      </c>
      <c r="Q194" s="247">
        <v>189</v>
      </c>
      <c r="R194" s="299">
        <f t="shared" si="45"/>
        <v>0.014375000000000002</v>
      </c>
      <c r="S194" s="250">
        <f t="shared" si="46"/>
        <v>0.9239999999999999</v>
      </c>
      <c r="AA194" s="316">
        <f t="shared" si="34"/>
      </c>
      <c r="AB194" s="316">
        <f t="shared" si="35"/>
        <v>0.014375000000000002</v>
      </c>
      <c r="AC194" s="316">
        <f t="shared" si="36"/>
      </c>
      <c r="AD194" s="316">
        <f t="shared" si="37"/>
      </c>
      <c r="AE194" s="316">
        <f t="shared" si="38"/>
      </c>
      <c r="AG194" s="316">
        <f t="shared" si="40"/>
      </c>
      <c r="AH194" s="316">
        <f t="shared" si="41"/>
        <v>0.9239999999999999</v>
      </c>
      <c r="AI194" s="316">
        <f t="shared" si="42"/>
      </c>
      <c r="AJ194" s="316">
        <f t="shared" si="43"/>
      </c>
      <c r="AK194" s="316">
        <f t="shared" si="44"/>
      </c>
    </row>
    <row r="195" spans="16:37" ht="15">
      <c r="P195" s="312">
        <f t="shared" si="39"/>
        <v>0.08483563364718022</v>
      </c>
      <c r="Q195" s="247">
        <v>190</v>
      </c>
      <c r="R195" s="299">
        <f t="shared" si="45"/>
        <v>0.014375000000000002</v>
      </c>
      <c r="S195" s="250">
        <f t="shared" si="46"/>
        <v>0.9239999999999999</v>
      </c>
      <c r="AA195" s="316">
        <f t="shared" si="34"/>
      </c>
      <c r="AB195" s="316">
        <f t="shared" si="35"/>
        <v>0.014375000000000002</v>
      </c>
      <c r="AC195" s="316">
        <f t="shared" si="36"/>
      </c>
      <c r="AD195" s="316">
        <f t="shared" si="37"/>
      </c>
      <c r="AE195" s="316">
        <f t="shared" si="38"/>
      </c>
      <c r="AG195" s="316">
        <f t="shared" si="40"/>
      </c>
      <c r="AH195" s="316">
        <f t="shared" si="41"/>
        <v>0.9239999999999999</v>
      </c>
      <c r="AI195" s="316">
        <f t="shared" si="42"/>
      </c>
      <c r="AJ195" s="316">
        <f t="shared" si="43"/>
      </c>
      <c r="AK195" s="316">
        <f t="shared" si="44"/>
      </c>
    </row>
    <row r="196" spans="16:37" ht="15">
      <c r="P196" s="312">
        <f t="shared" si="39"/>
        <v>0.0861554520818969</v>
      </c>
      <c r="Q196" s="247">
        <v>191</v>
      </c>
      <c r="R196" s="299">
        <f t="shared" si="45"/>
        <v>0.014375000000000002</v>
      </c>
      <c r="S196" s="250">
        <f t="shared" si="46"/>
        <v>0.9239999999999999</v>
      </c>
      <c r="AA196" s="316">
        <f t="shared" si="34"/>
      </c>
      <c r="AB196" s="316">
        <f t="shared" si="35"/>
        <v>0.014375000000000002</v>
      </c>
      <c r="AC196" s="316">
        <f t="shared" si="36"/>
      </c>
      <c r="AD196" s="316">
        <f t="shared" si="37"/>
      </c>
      <c r="AE196" s="316">
        <f t="shared" si="38"/>
      </c>
      <c r="AG196" s="316">
        <f t="shared" si="40"/>
      </c>
      <c r="AH196" s="316">
        <f t="shared" si="41"/>
        <v>0.9239999999999999</v>
      </c>
      <c r="AI196" s="316">
        <f t="shared" si="42"/>
      </c>
      <c r="AJ196" s="316">
        <f t="shared" si="43"/>
      </c>
      <c r="AK196" s="316">
        <f t="shared" si="44"/>
      </c>
    </row>
    <row r="197" spans="16:37" ht="15">
      <c r="P197" s="312">
        <f t="shared" si="39"/>
        <v>0.08749580340622294</v>
      </c>
      <c r="Q197" s="247">
        <v>192</v>
      </c>
      <c r="R197" s="299">
        <f t="shared" si="45"/>
        <v>0.014375000000000002</v>
      </c>
      <c r="S197" s="250">
        <f t="shared" si="46"/>
        <v>0.9239999999999999</v>
      </c>
      <c r="AA197" s="316">
        <f t="shared" si="34"/>
      </c>
      <c r="AB197" s="316">
        <f t="shared" si="35"/>
        <v>0.014375000000000002</v>
      </c>
      <c r="AC197" s="316">
        <f t="shared" si="36"/>
      </c>
      <c r="AD197" s="316">
        <f t="shared" si="37"/>
      </c>
      <c r="AE197" s="316">
        <f t="shared" si="38"/>
      </c>
      <c r="AG197" s="316">
        <f t="shared" si="40"/>
      </c>
      <c r="AH197" s="316">
        <f t="shared" si="41"/>
        <v>0.9239999999999999</v>
      </c>
      <c r="AI197" s="316">
        <f t="shared" si="42"/>
      </c>
      <c r="AJ197" s="316">
        <f t="shared" si="43"/>
      </c>
      <c r="AK197" s="316">
        <f t="shared" si="44"/>
      </c>
    </row>
    <row r="198" spans="16:37" ht="15">
      <c r="P198" s="312">
        <f t="shared" si="39"/>
        <v>0.08885700705769962</v>
      </c>
      <c r="Q198" s="247">
        <v>193</v>
      </c>
      <c r="R198" s="299">
        <f t="shared" si="45"/>
        <v>0.014375000000000002</v>
      </c>
      <c r="S198" s="250">
        <f t="shared" si="46"/>
        <v>0.9239999999999999</v>
      </c>
      <c r="AA198" s="316">
        <f aca="true" t="shared" si="47" ref="AA198:AA261">IF(P198&gt;=$F$17,IF(P198&lt;$F$18,R198,""),"")</f>
      </c>
      <c r="AB198" s="316">
        <f aca="true" t="shared" si="48" ref="AB198:AB261">IF(P198&gt;=$G$17,IF(P198&lt;$G$18,R198,""),"")</f>
        <v>0.014375000000000002</v>
      </c>
      <c r="AC198" s="316">
        <f aca="true" t="shared" si="49" ref="AC198:AC261">IF(P198&gt;=$H$17,IF(P198&lt;$H$18,R198,""),"")</f>
      </c>
      <c r="AD198" s="316">
        <f aca="true" t="shared" si="50" ref="AD198:AD261">IF(P198&gt;=$I$17,IF(P198&lt;$I$18,R198,""),"")</f>
      </c>
      <c r="AE198" s="316">
        <f aca="true" t="shared" si="51" ref="AE198:AE261">IF(P198&gt;=$J$17,IF(P198&lt;$J$18,R198,""),"")</f>
      </c>
      <c r="AG198" s="316">
        <f t="shared" si="40"/>
      </c>
      <c r="AH198" s="316">
        <f t="shared" si="41"/>
        <v>0.9239999999999999</v>
      </c>
      <c r="AI198" s="316">
        <f t="shared" si="42"/>
      </c>
      <c r="AJ198" s="316">
        <f t="shared" si="43"/>
      </c>
      <c r="AK198" s="316">
        <f t="shared" si="44"/>
      </c>
    </row>
    <row r="199" spans="16:37" ht="15">
      <c r="P199" s="312">
        <f aca="true" t="shared" si="52" ref="P199:P262">P198+(P198*R198/S198)</f>
        <v>0.09023938744347282</v>
      </c>
      <c r="Q199" s="247">
        <v>194</v>
      </c>
      <c r="R199" s="299">
        <f t="shared" si="45"/>
        <v>0.014375000000000002</v>
      </c>
      <c r="S199" s="250">
        <f t="shared" si="46"/>
        <v>0.9239999999999999</v>
      </c>
      <c r="AA199" s="316">
        <f t="shared" si="47"/>
      </c>
      <c r="AB199" s="316">
        <f t="shared" si="48"/>
        <v>0.014375000000000002</v>
      </c>
      <c r="AC199" s="316">
        <f t="shared" si="49"/>
      </c>
      <c r="AD199" s="316">
        <f t="shared" si="50"/>
      </c>
      <c r="AE199" s="316">
        <f t="shared" si="51"/>
      </c>
      <c r="AG199" s="316">
        <f aca="true" t="shared" si="53" ref="AG199:AG262">IF(P199&gt;=$F$17,IF(P199&lt;$F$18,S199,""),"")</f>
      </c>
      <c r="AH199" s="316">
        <f aca="true" t="shared" si="54" ref="AH199:AH262">IF(P199&gt;=$G$17,IF(P199&lt;$G$18,S199,""),"")</f>
        <v>0.9239999999999999</v>
      </c>
      <c r="AI199" s="316">
        <f aca="true" t="shared" si="55" ref="AI199:AI262">IF(P199&gt;=$H$17,IF(P199&lt;$H$18,S199,""),"")</f>
      </c>
      <c r="AJ199" s="316">
        <f aca="true" t="shared" si="56" ref="AJ199:AJ262">IF(P199&gt;=$I$17,IF(P199&lt;$I$18,S199,""),"")</f>
      </c>
      <c r="AK199" s="316">
        <f aca="true" t="shared" si="57" ref="AK199:AK262">IF(P199&gt;=$J$17,IF(P199&lt;$J$18,S199,""),"")</f>
      </c>
    </row>
    <row r="200" spans="16:37" ht="15">
      <c r="P200" s="312">
        <f t="shared" si="52"/>
        <v>0.09164327401760693</v>
      </c>
      <c r="Q200" s="247">
        <v>195</v>
      </c>
      <c r="R200" s="299">
        <f t="shared" si="45"/>
        <v>0.014375000000000002</v>
      </c>
      <c r="S200" s="250">
        <f t="shared" si="46"/>
        <v>0.9239999999999999</v>
      </c>
      <c r="AA200" s="316">
        <f t="shared" si="47"/>
      </c>
      <c r="AB200" s="316">
        <f t="shared" si="48"/>
        <v>0.014375000000000002</v>
      </c>
      <c r="AC200" s="316">
        <f t="shared" si="49"/>
      </c>
      <c r="AD200" s="316">
        <f t="shared" si="50"/>
      </c>
      <c r="AE200" s="316">
        <f t="shared" si="51"/>
      </c>
      <c r="AG200" s="316">
        <f t="shared" si="53"/>
      </c>
      <c r="AH200" s="316">
        <f t="shared" si="54"/>
        <v>0.9239999999999999</v>
      </c>
      <c r="AI200" s="316">
        <f t="shared" si="55"/>
      </c>
      <c r="AJ200" s="316">
        <f t="shared" si="56"/>
      </c>
      <c r="AK200" s="316">
        <f t="shared" si="57"/>
      </c>
    </row>
    <row r="201" spans="16:37" ht="15">
      <c r="P201" s="312">
        <f t="shared" si="52"/>
        <v>0.09306900135960162</v>
      </c>
      <c r="Q201" s="247">
        <v>196</v>
      </c>
      <c r="R201" s="299">
        <f t="shared" si="45"/>
        <v>0.014375000000000002</v>
      </c>
      <c r="S201" s="250">
        <f t="shared" si="46"/>
        <v>0.9239999999999999</v>
      </c>
      <c r="AA201" s="316">
        <f t="shared" si="47"/>
      </c>
      <c r="AB201" s="316">
        <f t="shared" si="48"/>
        <v>0.014375000000000002</v>
      </c>
      <c r="AC201" s="316">
        <f t="shared" si="49"/>
      </c>
      <c r="AD201" s="316">
        <f t="shared" si="50"/>
      </c>
      <c r="AE201" s="316">
        <f t="shared" si="51"/>
      </c>
      <c r="AG201" s="316">
        <f t="shared" si="53"/>
      </c>
      <c r="AH201" s="316">
        <f t="shared" si="54"/>
        <v>0.9239999999999999</v>
      </c>
      <c r="AI201" s="316">
        <f t="shared" si="55"/>
      </c>
      <c r="AJ201" s="316">
        <f t="shared" si="56"/>
      </c>
      <c r="AK201" s="316">
        <f t="shared" si="57"/>
      </c>
    </row>
    <row r="202" spans="16:37" ht="15">
      <c r="P202" s="312">
        <f t="shared" si="52"/>
        <v>0.09451690925413006</v>
      </c>
      <c r="Q202" s="247">
        <v>197</v>
      </c>
      <c r="R202" s="299">
        <f t="shared" si="45"/>
        <v>0.014375000000000002</v>
      </c>
      <c r="S202" s="250">
        <f t="shared" si="46"/>
        <v>0.9239999999999999</v>
      </c>
      <c r="AA202" s="316">
        <f t="shared" si="47"/>
      </c>
      <c r="AB202" s="316">
        <f t="shared" si="48"/>
        <v>0.014375000000000002</v>
      </c>
      <c r="AC202" s="316">
        <f t="shared" si="49"/>
      </c>
      <c r="AD202" s="316">
        <f t="shared" si="50"/>
      </c>
      <c r="AE202" s="316">
        <f t="shared" si="51"/>
      </c>
      <c r="AG202" s="316">
        <f t="shared" si="53"/>
      </c>
      <c r="AH202" s="316">
        <f t="shared" si="54"/>
        <v>0.9239999999999999</v>
      </c>
      <c r="AI202" s="316">
        <f t="shared" si="55"/>
      </c>
      <c r="AJ202" s="316">
        <f t="shared" si="56"/>
      </c>
      <c r="AK202" s="316">
        <f t="shared" si="57"/>
      </c>
    </row>
    <row r="203" spans="16:37" ht="15">
      <c r="P203" s="312">
        <f t="shared" si="52"/>
        <v>0.09598734277201763</v>
      </c>
      <c r="Q203" s="247">
        <v>198</v>
      </c>
      <c r="R203" s="299">
        <f t="shared" si="45"/>
        <v>0.014375000000000002</v>
      </c>
      <c r="S203" s="250">
        <f t="shared" si="46"/>
        <v>0.9239999999999999</v>
      </c>
      <c r="AA203" s="316">
        <f t="shared" si="47"/>
      </c>
      <c r="AB203" s="316">
        <f t="shared" si="48"/>
        <v>0.014375000000000002</v>
      </c>
      <c r="AC203" s="316">
        <f t="shared" si="49"/>
      </c>
      <c r="AD203" s="316">
        <f t="shared" si="50"/>
      </c>
      <c r="AE203" s="316">
        <f t="shared" si="51"/>
      </c>
      <c r="AG203" s="316">
        <f t="shared" si="53"/>
      </c>
      <c r="AH203" s="316">
        <f t="shared" si="54"/>
        <v>0.9239999999999999</v>
      </c>
      <c r="AI203" s="316">
        <f t="shared" si="55"/>
      </c>
      <c r="AJ203" s="316">
        <f t="shared" si="56"/>
      </c>
      <c r="AK203" s="316">
        <f t="shared" si="57"/>
      </c>
    </row>
    <row r="204" spans="16:37" ht="15">
      <c r="P204" s="312">
        <f t="shared" si="52"/>
        <v>0.09748065235248057</v>
      </c>
      <c r="Q204" s="247">
        <v>199</v>
      </c>
      <c r="R204" s="299">
        <f t="shared" si="45"/>
        <v>0.014375000000000002</v>
      </c>
      <c r="S204" s="250">
        <f t="shared" si="46"/>
        <v>0.9239999999999999</v>
      </c>
      <c r="AA204" s="316">
        <f t="shared" si="47"/>
      </c>
      <c r="AB204" s="316">
        <f t="shared" si="48"/>
        <v>0.014375000000000002</v>
      </c>
      <c r="AC204" s="316">
        <f t="shared" si="49"/>
      </c>
      <c r="AD204" s="316">
        <f t="shared" si="50"/>
      </c>
      <c r="AE204" s="316">
        <f t="shared" si="51"/>
      </c>
      <c r="AG204" s="316">
        <f t="shared" si="53"/>
      </c>
      <c r="AH204" s="316">
        <f t="shared" si="54"/>
        <v>0.9239999999999999</v>
      </c>
      <c r="AI204" s="316">
        <f t="shared" si="55"/>
      </c>
      <c r="AJ204" s="316">
        <f t="shared" si="56"/>
      </c>
      <c r="AK204" s="316">
        <f t="shared" si="57"/>
      </c>
    </row>
    <row r="205" spans="16:37" ht="15">
      <c r="P205" s="312">
        <f t="shared" si="52"/>
        <v>0.0989971938866439</v>
      </c>
      <c r="Q205" s="247">
        <v>200</v>
      </c>
      <c r="R205" s="299">
        <f t="shared" si="45"/>
        <v>0.014375000000000002</v>
      </c>
      <c r="S205" s="250">
        <f t="shared" si="46"/>
        <v>0.9239999999999999</v>
      </c>
      <c r="AA205" s="316">
        <f t="shared" si="47"/>
      </c>
      <c r="AB205" s="316">
        <f t="shared" si="48"/>
        <v>0.014375000000000002</v>
      </c>
      <c r="AC205" s="316">
        <f t="shared" si="49"/>
      </c>
      <c r="AD205" s="316">
        <f t="shared" si="50"/>
      </c>
      <c r="AE205" s="316">
        <f t="shared" si="51"/>
      </c>
      <c r="AG205" s="316">
        <f t="shared" si="53"/>
      </c>
      <c r="AH205" s="316">
        <f t="shared" si="54"/>
        <v>0.9239999999999999</v>
      </c>
      <c r="AI205" s="316">
        <f t="shared" si="55"/>
      </c>
      <c r="AJ205" s="316">
        <f t="shared" si="56"/>
      </c>
      <c r="AK205" s="316">
        <f t="shared" si="57"/>
      </c>
    </row>
    <row r="206" spans="16:37" ht="15">
      <c r="P206" s="312">
        <f t="shared" si="52"/>
        <v>0.10053732880235873</v>
      </c>
      <c r="Q206" s="247">
        <v>201</v>
      </c>
      <c r="R206" s="299">
        <f t="shared" si="45"/>
        <v>0.014375000000000002</v>
      </c>
      <c r="S206" s="250">
        <f t="shared" si="46"/>
        <v>0.9239999999999999</v>
      </c>
      <c r="AA206" s="316">
        <f t="shared" si="47"/>
      </c>
      <c r="AB206" s="316">
        <f t="shared" si="48"/>
        <v>0.014375000000000002</v>
      </c>
      <c r="AC206" s="316">
        <f t="shared" si="49"/>
      </c>
      <c r="AD206" s="316">
        <f t="shared" si="50"/>
      </c>
      <c r="AE206" s="316">
        <f t="shared" si="51"/>
      </c>
      <c r="AG206" s="316">
        <f t="shared" si="53"/>
      </c>
      <c r="AH206" s="316">
        <f t="shared" si="54"/>
        <v>0.9239999999999999</v>
      </c>
      <c r="AI206" s="316">
        <f t="shared" si="55"/>
      </c>
      <c r="AJ206" s="316">
        <f t="shared" si="56"/>
      </c>
      <c r="AK206" s="316">
        <f t="shared" si="57"/>
      </c>
    </row>
    <row r="207" spans="16:37" ht="15">
      <c r="P207" s="312">
        <f t="shared" si="52"/>
        <v>0.10210142415033915</v>
      </c>
      <c r="Q207" s="247">
        <v>202</v>
      </c>
      <c r="R207" s="299">
        <f t="shared" si="45"/>
        <v>0.014375000000000002</v>
      </c>
      <c r="S207" s="250">
        <f t="shared" si="46"/>
        <v>0.9239999999999999</v>
      </c>
      <c r="AA207" s="316">
        <f t="shared" si="47"/>
      </c>
      <c r="AB207" s="316">
        <f t="shared" si="48"/>
        <v>0.014375000000000002</v>
      </c>
      <c r="AC207" s="316">
        <f t="shared" si="49"/>
      </c>
      <c r="AD207" s="316">
        <f t="shared" si="50"/>
      </c>
      <c r="AE207" s="316">
        <f t="shared" si="51"/>
      </c>
      <c r="AG207" s="316">
        <f t="shared" si="53"/>
      </c>
      <c r="AH207" s="316">
        <f t="shared" si="54"/>
        <v>0.9239999999999999</v>
      </c>
      <c r="AI207" s="316">
        <f t="shared" si="55"/>
      </c>
      <c r="AJ207" s="316">
        <f t="shared" si="56"/>
      </c>
      <c r="AK207" s="316">
        <f t="shared" si="57"/>
      </c>
    </row>
    <row r="208" spans="16:37" ht="15">
      <c r="P208" s="312">
        <f t="shared" si="52"/>
        <v>0.10368985269163908</v>
      </c>
      <c r="Q208" s="247">
        <v>203</v>
      </c>
      <c r="R208" s="299">
        <f t="shared" si="45"/>
        <v>0.014375000000000002</v>
      </c>
      <c r="S208" s="250">
        <f t="shared" si="46"/>
        <v>0.9239999999999999</v>
      </c>
      <c r="AA208" s="316">
        <f t="shared" si="47"/>
      </c>
      <c r="AB208" s="316">
        <f t="shared" si="48"/>
        <v>0.014375000000000002</v>
      </c>
      <c r="AC208" s="316">
        <f t="shared" si="49"/>
      </c>
      <c r="AD208" s="316">
        <f t="shared" si="50"/>
      </c>
      <c r="AE208" s="316">
        <f t="shared" si="51"/>
      </c>
      <c r="AG208" s="316">
        <f t="shared" si="53"/>
      </c>
      <c r="AH208" s="316">
        <f t="shared" si="54"/>
        <v>0.9239999999999999</v>
      </c>
      <c r="AI208" s="316">
        <f t="shared" si="55"/>
      </c>
      <c r="AJ208" s="316">
        <f t="shared" si="56"/>
      </c>
      <c r="AK208" s="316">
        <f t="shared" si="57"/>
      </c>
    </row>
    <row r="209" spans="16:37" ht="15">
      <c r="P209" s="312">
        <f t="shared" si="52"/>
        <v>0.10530299298649007</v>
      </c>
      <c r="Q209" s="247">
        <v>204</v>
      </c>
      <c r="R209" s="299">
        <f t="shared" si="45"/>
        <v>0.014375000000000002</v>
      </c>
      <c r="S209" s="250">
        <f t="shared" si="46"/>
        <v>0.9239999999999999</v>
      </c>
      <c r="AA209" s="316">
        <f t="shared" si="47"/>
      </c>
      <c r="AB209" s="316">
        <f t="shared" si="48"/>
        <v>0.014375000000000002</v>
      </c>
      <c r="AC209" s="316">
        <f t="shared" si="49"/>
      </c>
      <c r="AD209" s="316">
        <f t="shared" si="50"/>
      </c>
      <c r="AE209" s="316">
        <f t="shared" si="51"/>
      </c>
      <c r="AG209" s="316">
        <f t="shared" si="53"/>
      </c>
      <c r="AH209" s="316">
        <f t="shared" si="54"/>
        <v>0.9239999999999999</v>
      </c>
      <c r="AI209" s="316">
        <f t="shared" si="55"/>
      </c>
      <c r="AJ209" s="316">
        <f t="shared" si="56"/>
      </c>
      <c r="AK209" s="316">
        <f t="shared" si="57"/>
      </c>
    </row>
    <row r="210" spans="16:37" ht="15">
      <c r="P210" s="312">
        <f t="shared" si="52"/>
        <v>0.10694122948452123</v>
      </c>
      <c r="Q210" s="247">
        <v>205</v>
      </c>
      <c r="R210" s="299">
        <f t="shared" si="45"/>
        <v>0.014375000000000002</v>
      </c>
      <c r="S210" s="250">
        <f t="shared" si="46"/>
        <v>0.9239999999999999</v>
      </c>
      <c r="AA210" s="316">
        <f t="shared" si="47"/>
      </c>
      <c r="AB210" s="316">
        <f t="shared" si="48"/>
        <v>0.014375000000000002</v>
      </c>
      <c r="AC210" s="316">
        <f t="shared" si="49"/>
      </c>
      <c r="AD210" s="316">
        <f t="shared" si="50"/>
      </c>
      <c r="AE210" s="316">
        <f t="shared" si="51"/>
      </c>
      <c r="AG210" s="316">
        <f t="shared" si="53"/>
      </c>
      <c r="AH210" s="316">
        <f t="shared" si="54"/>
        <v>0.9239999999999999</v>
      </c>
      <c r="AI210" s="316">
        <f t="shared" si="55"/>
      </c>
      <c r="AJ210" s="316">
        <f t="shared" si="56"/>
      </c>
      <c r="AK210" s="316">
        <f t="shared" si="57"/>
      </c>
    </row>
    <row r="211" spans="16:37" ht="15">
      <c r="P211" s="312">
        <f t="shared" si="52"/>
        <v>0.10860495261638269</v>
      </c>
      <c r="Q211" s="247">
        <v>206</v>
      </c>
      <c r="R211" s="299">
        <f t="shared" si="45"/>
        <v>0.014375000000000002</v>
      </c>
      <c r="S211" s="250">
        <f t="shared" si="46"/>
        <v>0.9239999999999999</v>
      </c>
      <c r="AA211" s="316">
        <f t="shared" si="47"/>
      </c>
      <c r="AB211" s="316">
        <f t="shared" si="48"/>
        <v>0.014375000000000002</v>
      </c>
      <c r="AC211" s="316">
        <f t="shared" si="49"/>
      </c>
      <c r="AD211" s="316">
        <f t="shared" si="50"/>
      </c>
      <c r="AE211" s="316">
        <f t="shared" si="51"/>
      </c>
      <c r="AG211" s="316">
        <f t="shared" si="53"/>
      </c>
      <c r="AH211" s="316">
        <f t="shared" si="54"/>
        <v>0.9239999999999999</v>
      </c>
      <c r="AI211" s="316">
        <f t="shared" si="55"/>
      </c>
      <c r="AJ211" s="316">
        <f t="shared" si="56"/>
      </c>
      <c r="AK211" s="316">
        <f t="shared" si="57"/>
      </c>
    </row>
    <row r="212" spans="16:37" ht="15">
      <c r="P212" s="312">
        <f t="shared" si="52"/>
        <v>0.11029455888679449</v>
      </c>
      <c r="Q212" s="247">
        <v>207</v>
      </c>
      <c r="R212" s="299">
        <f t="shared" si="45"/>
        <v>0.014375000000000002</v>
      </c>
      <c r="S212" s="250">
        <f t="shared" si="46"/>
        <v>0.9239999999999999</v>
      </c>
      <c r="AA212" s="316">
        <f t="shared" si="47"/>
      </c>
      <c r="AB212" s="316">
        <f t="shared" si="48"/>
        <v>0.014375000000000002</v>
      </c>
      <c r="AC212" s="316">
        <f t="shared" si="49"/>
      </c>
      <c r="AD212" s="316">
        <f t="shared" si="50"/>
      </c>
      <c r="AE212" s="316">
        <f t="shared" si="51"/>
      </c>
      <c r="AG212" s="316">
        <f t="shared" si="53"/>
      </c>
      <c r="AH212" s="316">
        <f t="shared" si="54"/>
        <v>0.9239999999999999</v>
      </c>
      <c r="AI212" s="316">
        <f t="shared" si="55"/>
      </c>
      <c r="AJ212" s="316">
        <f t="shared" si="56"/>
      </c>
      <c r="AK212" s="316">
        <f t="shared" si="57"/>
      </c>
    </row>
    <row r="213" spans="16:37" ht="15">
      <c r="P213" s="312">
        <f t="shared" si="52"/>
        <v>0.11201045096904305</v>
      </c>
      <c r="Q213" s="247">
        <v>208</v>
      </c>
      <c r="R213" s="299">
        <f t="shared" si="45"/>
        <v>0.014375000000000002</v>
      </c>
      <c r="S213" s="250">
        <f t="shared" si="46"/>
        <v>0.9239999999999999</v>
      </c>
      <c r="AA213" s="316">
        <f t="shared" si="47"/>
      </c>
      <c r="AB213" s="316">
        <f t="shared" si="48"/>
        <v>0.014375000000000002</v>
      </c>
      <c r="AC213" s="316">
        <f t="shared" si="49"/>
      </c>
      <c r="AD213" s="316">
        <f t="shared" si="50"/>
      </c>
      <c r="AE213" s="316">
        <f t="shared" si="51"/>
      </c>
      <c r="AG213" s="316">
        <f t="shared" si="53"/>
      </c>
      <c r="AH213" s="316">
        <f t="shared" si="54"/>
        <v>0.9239999999999999</v>
      </c>
      <c r="AI213" s="316">
        <f t="shared" si="55"/>
      </c>
      <c r="AJ213" s="316">
        <f t="shared" si="56"/>
      </c>
      <c r="AK213" s="316">
        <f t="shared" si="57"/>
      </c>
    </row>
    <row r="214" spans="16:37" ht="15">
      <c r="P214" s="312">
        <f t="shared" si="52"/>
        <v>0.11375303780094781</v>
      </c>
      <c r="Q214" s="247">
        <v>209</v>
      </c>
      <c r="R214" s="299">
        <f t="shared" si="45"/>
        <v>0.014375000000000002</v>
      </c>
      <c r="S214" s="250">
        <f t="shared" si="46"/>
        <v>0.9239999999999999</v>
      </c>
      <c r="AA214" s="316">
        <f t="shared" si="47"/>
      </c>
      <c r="AB214" s="316">
        <f t="shared" si="48"/>
        <v>0.014375000000000002</v>
      </c>
      <c r="AC214" s="316">
        <f t="shared" si="49"/>
      </c>
      <c r="AD214" s="316">
        <f t="shared" si="50"/>
      </c>
      <c r="AE214" s="316">
        <f t="shared" si="51"/>
      </c>
      <c r="AG214" s="316">
        <f t="shared" si="53"/>
      </c>
      <c r="AH214" s="316">
        <f t="shared" si="54"/>
        <v>0.9239999999999999</v>
      </c>
      <c r="AI214" s="316">
        <f t="shared" si="55"/>
      </c>
      <c r="AJ214" s="316">
        <f t="shared" si="56"/>
      </c>
      <c r="AK214" s="316">
        <f t="shared" si="57"/>
      </c>
    </row>
    <row r="215" spans="16:37" ht="15">
      <c r="P215" s="312">
        <f t="shared" si="52"/>
        <v>0.11552273468232079</v>
      </c>
      <c r="Q215" s="247">
        <v>210</v>
      </c>
      <c r="R215" s="299">
        <f t="shared" si="45"/>
        <v>0.014375000000000002</v>
      </c>
      <c r="S215" s="250">
        <f t="shared" si="46"/>
        <v>0.9239999999999999</v>
      </c>
      <c r="AA215" s="316">
        <f t="shared" si="47"/>
      </c>
      <c r="AB215" s="316">
        <f t="shared" si="48"/>
        <v>0.014375000000000002</v>
      </c>
      <c r="AC215" s="316">
        <f t="shared" si="49"/>
      </c>
      <c r="AD215" s="316">
        <f t="shared" si="50"/>
      </c>
      <c r="AE215" s="316">
        <f t="shared" si="51"/>
      </c>
      <c r="AG215" s="316">
        <f t="shared" si="53"/>
      </c>
      <c r="AH215" s="316">
        <f t="shared" si="54"/>
        <v>0.9239999999999999</v>
      </c>
      <c r="AI215" s="316">
        <f t="shared" si="55"/>
      </c>
      <c r="AJ215" s="316">
        <f t="shared" si="56"/>
      </c>
      <c r="AK215" s="316">
        <f t="shared" si="57"/>
      </c>
    </row>
    <row r="216" spans="16:37" ht="15">
      <c r="P216" s="312">
        <f t="shared" si="52"/>
        <v>0.11731996337394239</v>
      </c>
      <c r="Q216" s="247">
        <v>211</v>
      </c>
      <c r="R216" s="299">
        <f t="shared" si="45"/>
        <v>0.014375000000000002</v>
      </c>
      <c r="S216" s="250">
        <f t="shared" si="46"/>
        <v>0.9239999999999999</v>
      </c>
      <c r="AA216" s="316">
        <f t="shared" si="47"/>
      </c>
      <c r="AB216" s="316">
        <f t="shared" si="48"/>
        <v>0.014375000000000002</v>
      </c>
      <c r="AC216" s="316">
        <f t="shared" si="49"/>
      </c>
      <c r="AD216" s="316">
        <f t="shared" si="50"/>
      </c>
      <c r="AE216" s="316">
        <f t="shared" si="51"/>
      </c>
      <c r="AG216" s="316">
        <f t="shared" si="53"/>
      </c>
      <c r="AH216" s="316">
        <f t="shared" si="54"/>
        <v>0.9239999999999999</v>
      </c>
      <c r="AI216" s="316">
        <f t="shared" si="55"/>
      </c>
      <c r="AJ216" s="316">
        <f t="shared" si="56"/>
      </c>
      <c r="AK216" s="316">
        <f t="shared" si="57"/>
      </c>
    </row>
    <row r="217" spans="16:37" ht="15">
      <c r="P217" s="312">
        <f t="shared" si="52"/>
        <v>0.11914515219807705</v>
      </c>
      <c r="Q217" s="247">
        <v>212</v>
      </c>
      <c r="R217" s="299">
        <f t="shared" si="45"/>
        <v>0.014375000000000002</v>
      </c>
      <c r="S217" s="250">
        <f t="shared" si="46"/>
        <v>0.9239999999999999</v>
      </c>
      <c r="AA217" s="316">
        <f t="shared" si="47"/>
      </c>
      <c r="AB217" s="316">
        <f t="shared" si="48"/>
        <v>0.014375000000000002</v>
      </c>
      <c r="AC217" s="316">
        <f t="shared" si="49"/>
      </c>
      <c r="AD217" s="316">
        <f t="shared" si="50"/>
      </c>
      <c r="AE217" s="316">
        <f t="shared" si="51"/>
      </c>
      <c r="AG217" s="316">
        <f t="shared" si="53"/>
      </c>
      <c r="AH217" s="316">
        <f t="shared" si="54"/>
        <v>0.9239999999999999</v>
      </c>
      <c r="AI217" s="316">
        <f t="shared" si="55"/>
      </c>
      <c r="AJ217" s="316">
        <f t="shared" si="56"/>
      </c>
      <c r="AK217" s="316">
        <f t="shared" si="57"/>
      </c>
    </row>
    <row r="218" spans="16:37" ht="15">
      <c r="P218" s="312">
        <f t="shared" si="52"/>
        <v>0.12099873614055254</v>
      </c>
      <c r="Q218" s="247">
        <v>213</v>
      </c>
      <c r="R218" s="299">
        <f t="shared" si="45"/>
        <v>0.014375000000000002</v>
      </c>
      <c r="S218" s="250">
        <f t="shared" si="46"/>
        <v>0.9239999999999999</v>
      </c>
      <c r="AA218" s="316">
        <f t="shared" si="47"/>
      </c>
      <c r="AB218" s="316">
        <f t="shared" si="48"/>
        <v>0.014375000000000002</v>
      </c>
      <c r="AC218" s="316">
        <f t="shared" si="49"/>
      </c>
      <c r="AD218" s="316">
        <f t="shared" si="50"/>
      </c>
      <c r="AE218" s="316">
        <f t="shared" si="51"/>
      </c>
      <c r="AG218" s="316">
        <f t="shared" si="53"/>
      </c>
      <c r="AH218" s="316">
        <f t="shared" si="54"/>
        <v>0.9239999999999999</v>
      </c>
      <c r="AI218" s="316">
        <f t="shared" si="55"/>
      </c>
      <c r="AJ218" s="316">
        <f t="shared" si="56"/>
      </c>
      <c r="AK218" s="316">
        <f t="shared" si="57"/>
      </c>
    </row>
    <row r="219" spans="16:37" ht="15">
      <c r="P219" s="312">
        <f t="shared" si="52"/>
        <v>0.12288115695442747</v>
      </c>
      <c r="Q219" s="247">
        <v>214</v>
      </c>
      <c r="R219" s="299">
        <f t="shared" si="45"/>
        <v>0.014375000000000002</v>
      </c>
      <c r="S219" s="250">
        <f t="shared" si="46"/>
        <v>0.9239999999999999</v>
      </c>
      <c r="AA219" s="316">
        <f t="shared" si="47"/>
      </c>
      <c r="AB219" s="316">
        <f t="shared" si="48"/>
        <v>0.014375000000000002</v>
      </c>
      <c r="AC219" s="316">
        <f t="shared" si="49"/>
      </c>
      <c r="AD219" s="316">
        <f t="shared" si="50"/>
      </c>
      <c r="AE219" s="316">
        <f t="shared" si="51"/>
      </c>
      <c r="AG219" s="316">
        <f t="shared" si="53"/>
      </c>
      <c r="AH219" s="316">
        <f t="shared" si="54"/>
        <v>0.9239999999999999</v>
      </c>
      <c r="AI219" s="316">
        <f t="shared" si="55"/>
      </c>
      <c r="AJ219" s="316">
        <f t="shared" si="56"/>
      </c>
      <c r="AK219" s="316">
        <f t="shared" si="57"/>
      </c>
    </row>
    <row r="220" spans="16:37" ht="15">
      <c r="P220" s="312">
        <f t="shared" si="52"/>
        <v>0.12479286326527152</v>
      </c>
      <c r="Q220" s="247">
        <v>215</v>
      </c>
      <c r="R220" s="299">
        <f t="shared" si="45"/>
        <v>0.014375000000000002</v>
      </c>
      <c r="S220" s="250">
        <f t="shared" si="46"/>
        <v>0.9239999999999999</v>
      </c>
      <c r="AA220" s="316">
        <f t="shared" si="47"/>
      </c>
      <c r="AB220" s="316">
        <f t="shared" si="48"/>
        <v>0.014375000000000002</v>
      </c>
      <c r="AC220" s="316">
        <f t="shared" si="49"/>
      </c>
      <c r="AD220" s="316">
        <f t="shared" si="50"/>
      </c>
      <c r="AE220" s="316">
        <f t="shared" si="51"/>
      </c>
      <c r="AG220" s="316">
        <f t="shared" si="53"/>
      </c>
      <c r="AH220" s="316">
        <f t="shared" si="54"/>
        <v>0.9239999999999999</v>
      </c>
      <c r="AI220" s="316">
        <f t="shared" si="55"/>
      </c>
      <c r="AJ220" s="316">
        <f t="shared" si="56"/>
      </c>
      <c r="AK220" s="316">
        <f t="shared" si="57"/>
      </c>
    </row>
    <row r="221" spans="16:37" ht="15">
      <c r="P221" s="312">
        <f t="shared" si="52"/>
        <v>0.1267343106780835</v>
      </c>
      <c r="Q221" s="247">
        <v>216</v>
      </c>
      <c r="R221" s="299">
        <f t="shared" si="45"/>
        <v>0.014375000000000002</v>
      </c>
      <c r="S221" s="250">
        <f t="shared" si="46"/>
        <v>0.9239999999999999</v>
      </c>
      <c r="AA221" s="316">
        <f t="shared" si="47"/>
      </c>
      <c r="AB221" s="316">
        <f t="shared" si="48"/>
        <v>0.014375000000000002</v>
      </c>
      <c r="AC221" s="316">
        <f t="shared" si="49"/>
      </c>
      <c r="AD221" s="316">
        <f t="shared" si="50"/>
      </c>
      <c r="AE221" s="316">
        <f t="shared" si="51"/>
      </c>
      <c r="AG221" s="316">
        <f t="shared" si="53"/>
      </c>
      <c r="AH221" s="316">
        <f t="shared" si="54"/>
        <v>0.9239999999999999</v>
      </c>
      <c r="AI221" s="316">
        <f t="shared" si="55"/>
      </c>
      <c r="AJ221" s="316">
        <f t="shared" si="56"/>
      </c>
      <c r="AK221" s="316">
        <f t="shared" si="57"/>
      </c>
    </row>
    <row r="222" spans="16:37" ht="15">
      <c r="P222" s="312">
        <f t="shared" si="52"/>
        <v>0.12870596188587294</v>
      </c>
      <c r="Q222" s="247">
        <v>217</v>
      </c>
      <c r="R222" s="299">
        <f t="shared" si="45"/>
        <v>0.014375000000000002</v>
      </c>
      <c r="S222" s="250">
        <f t="shared" si="46"/>
        <v>0.9239999999999999</v>
      </c>
      <c r="AA222" s="316">
        <f t="shared" si="47"/>
      </c>
      <c r="AB222" s="316">
        <f t="shared" si="48"/>
        <v>0.014375000000000002</v>
      </c>
      <c r="AC222" s="316">
        <f t="shared" si="49"/>
      </c>
      <c r="AD222" s="316">
        <f t="shared" si="50"/>
      </c>
      <c r="AE222" s="316">
        <f t="shared" si="51"/>
      </c>
      <c r="AG222" s="316">
        <f t="shared" si="53"/>
      </c>
      <c r="AH222" s="316">
        <f t="shared" si="54"/>
        <v>0.9239999999999999</v>
      </c>
      <c r="AI222" s="316">
        <f t="shared" si="55"/>
      </c>
      <c r="AJ222" s="316">
        <f t="shared" si="56"/>
      </c>
      <c r="AK222" s="316">
        <f t="shared" si="57"/>
      </c>
    </row>
    <row r="223" spans="16:37" ht="15">
      <c r="P223" s="312">
        <f t="shared" si="52"/>
        <v>0.13070828677993077</v>
      </c>
      <c r="Q223" s="247">
        <v>218</v>
      </c>
      <c r="R223" s="299">
        <f t="shared" si="45"/>
        <v>0.014375000000000002</v>
      </c>
      <c r="S223" s="250">
        <f t="shared" si="46"/>
        <v>0.9239999999999999</v>
      </c>
      <c r="AA223" s="316">
        <f t="shared" si="47"/>
      </c>
      <c r="AB223" s="316">
        <f t="shared" si="48"/>
        <v>0.014375000000000002</v>
      </c>
      <c r="AC223" s="316">
        <f t="shared" si="49"/>
      </c>
      <c r="AD223" s="316">
        <f t="shared" si="50"/>
      </c>
      <c r="AE223" s="316">
        <f t="shared" si="51"/>
      </c>
      <c r="AG223" s="316">
        <f t="shared" si="53"/>
      </c>
      <c r="AH223" s="316">
        <f t="shared" si="54"/>
        <v>0.9239999999999999</v>
      </c>
      <c r="AI223" s="316">
        <f t="shared" si="55"/>
      </c>
      <c r="AJ223" s="316">
        <f t="shared" si="56"/>
      </c>
      <c r="AK223" s="316">
        <f t="shared" si="57"/>
      </c>
    </row>
    <row r="224" spans="16:37" ht="15">
      <c r="P224" s="312">
        <f t="shared" si="52"/>
        <v>0.13274176256181552</v>
      </c>
      <c r="Q224" s="247">
        <v>219</v>
      </c>
      <c r="R224" s="299">
        <f t="shared" si="45"/>
        <v>0.014375000000000002</v>
      </c>
      <c r="S224" s="250">
        <f t="shared" si="46"/>
        <v>0.9239999999999999</v>
      </c>
      <c r="AA224" s="316">
        <f t="shared" si="47"/>
      </c>
      <c r="AB224" s="316">
        <f t="shared" si="48"/>
        <v>0.014375000000000002</v>
      </c>
      <c r="AC224" s="316">
        <f t="shared" si="49"/>
      </c>
      <c r="AD224" s="316">
        <f t="shared" si="50"/>
      </c>
      <c r="AE224" s="316">
        <f t="shared" si="51"/>
      </c>
      <c r="AG224" s="316">
        <f t="shared" si="53"/>
      </c>
      <c r="AH224" s="316">
        <f t="shared" si="54"/>
        <v>0.9239999999999999</v>
      </c>
      <c r="AI224" s="316">
        <f t="shared" si="55"/>
      </c>
      <c r="AJ224" s="316">
        <f t="shared" si="56"/>
      </c>
      <c r="AK224" s="316">
        <f t="shared" si="57"/>
      </c>
    </row>
    <row r="225" spans="16:37" ht="15">
      <c r="P225" s="312">
        <f t="shared" si="52"/>
        <v>0.13480687385708187</v>
      </c>
      <c r="Q225" s="247">
        <v>220</v>
      </c>
      <c r="R225" s="299">
        <f aca="true" t="shared" si="58" ref="R225:R250">0.01725/1.2</f>
        <v>0.014375000000000002</v>
      </c>
      <c r="S225" s="250">
        <f t="shared" si="46"/>
        <v>0.9239999999999999</v>
      </c>
      <c r="AA225" s="316">
        <f t="shared" si="47"/>
      </c>
      <c r="AB225" s="316">
        <f t="shared" si="48"/>
        <v>0.014375000000000002</v>
      </c>
      <c r="AC225" s="316">
        <f t="shared" si="49"/>
      </c>
      <c r="AD225" s="316">
        <f t="shared" si="50"/>
      </c>
      <c r="AE225" s="316">
        <f t="shared" si="51"/>
      </c>
      <c r="AG225" s="316">
        <f t="shared" si="53"/>
      </c>
      <c r="AH225" s="316">
        <f t="shared" si="54"/>
        <v>0.9239999999999999</v>
      </c>
      <c r="AI225" s="316">
        <f t="shared" si="55"/>
      </c>
      <c r="AJ225" s="316">
        <f t="shared" si="56"/>
      </c>
      <c r="AK225" s="316">
        <f t="shared" si="57"/>
      </c>
    </row>
    <row r="226" spans="16:37" ht="15">
      <c r="P226" s="312">
        <f t="shared" si="52"/>
        <v>0.13690411283077836</v>
      </c>
      <c r="Q226" s="247">
        <v>221</v>
      </c>
      <c r="R226" s="299">
        <f t="shared" si="58"/>
        <v>0.014375000000000002</v>
      </c>
      <c r="S226" s="250">
        <f aca="true" t="shared" si="59" ref="S226:S246">0.77*1.2</f>
        <v>0.9239999999999999</v>
      </c>
      <c r="AA226" s="316">
        <f t="shared" si="47"/>
      </c>
      <c r="AB226" s="316">
        <f t="shared" si="48"/>
        <v>0.014375000000000002</v>
      </c>
      <c r="AC226" s="316">
        <f t="shared" si="49"/>
      </c>
      <c r="AD226" s="316">
        <f t="shared" si="50"/>
      </c>
      <c r="AE226" s="316">
        <f t="shared" si="51"/>
      </c>
      <c r="AG226" s="316">
        <f t="shared" si="53"/>
      </c>
      <c r="AH226" s="316">
        <f t="shared" si="54"/>
        <v>0.9239999999999999</v>
      </c>
      <c r="AI226" s="316">
        <f t="shared" si="55"/>
      </c>
      <c r="AJ226" s="316">
        <f t="shared" si="56"/>
      </c>
      <c r="AK226" s="316">
        <f t="shared" si="57"/>
      </c>
    </row>
    <row r="227" spans="16:37" ht="15">
      <c r="P227" s="312">
        <f t="shared" si="52"/>
        <v>0.13903397930474204</v>
      </c>
      <c r="Q227" s="247">
        <v>222</v>
      </c>
      <c r="R227" s="299">
        <f t="shared" si="58"/>
        <v>0.014375000000000002</v>
      </c>
      <c r="S227" s="250">
        <f t="shared" si="59"/>
        <v>0.9239999999999999</v>
      </c>
      <c r="AA227" s="316">
        <f t="shared" si="47"/>
      </c>
      <c r="AB227" s="316">
        <f t="shared" si="48"/>
        <v>0.014375000000000002</v>
      </c>
      <c r="AC227" s="316">
        <f t="shared" si="49"/>
      </c>
      <c r="AD227" s="316">
        <f t="shared" si="50"/>
      </c>
      <c r="AE227" s="316">
        <f t="shared" si="51"/>
      </c>
      <c r="AG227" s="316">
        <f t="shared" si="53"/>
      </c>
      <c r="AH227" s="316">
        <f t="shared" si="54"/>
        <v>0.9239999999999999</v>
      </c>
      <c r="AI227" s="316">
        <f t="shared" si="55"/>
      </c>
      <c r="AJ227" s="316">
        <f t="shared" si="56"/>
      </c>
      <c r="AK227" s="316">
        <f t="shared" si="57"/>
      </c>
    </row>
    <row r="228" spans="16:37" ht="15">
      <c r="P228" s="312">
        <f t="shared" si="52"/>
        <v>0.14119698087671786</v>
      </c>
      <c r="Q228" s="247">
        <v>223</v>
      </c>
      <c r="R228" s="299">
        <f t="shared" si="58"/>
        <v>0.014375000000000002</v>
      </c>
      <c r="S228" s="250">
        <f t="shared" si="59"/>
        <v>0.9239999999999999</v>
      </c>
      <c r="AA228" s="316">
        <f t="shared" si="47"/>
      </c>
      <c r="AB228" s="316">
        <f t="shared" si="48"/>
        <v>0.014375000000000002</v>
      </c>
      <c r="AC228" s="316">
        <f t="shared" si="49"/>
      </c>
      <c r="AD228" s="316">
        <f t="shared" si="50"/>
      </c>
      <c r="AE228" s="316">
        <f t="shared" si="51"/>
      </c>
      <c r="AG228" s="316">
        <f t="shared" si="53"/>
      </c>
      <c r="AH228" s="316">
        <f t="shared" si="54"/>
        <v>0.9239999999999999</v>
      </c>
      <c r="AI228" s="316">
        <f t="shared" si="55"/>
      </c>
      <c r="AJ228" s="316">
        <f t="shared" si="56"/>
      </c>
      <c r="AK228" s="316">
        <f t="shared" si="57"/>
      </c>
    </row>
    <row r="229" spans="16:37" ht="15">
      <c r="P229" s="312">
        <f t="shared" si="52"/>
        <v>0.1433936330413313</v>
      </c>
      <c r="Q229" s="247">
        <v>224</v>
      </c>
      <c r="R229" s="299">
        <f t="shared" si="58"/>
        <v>0.014375000000000002</v>
      </c>
      <c r="S229" s="250">
        <f t="shared" si="59"/>
        <v>0.9239999999999999</v>
      </c>
      <c r="AA229" s="316">
        <f t="shared" si="47"/>
      </c>
      <c r="AB229" s="316">
        <f t="shared" si="48"/>
        <v>0.014375000000000002</v>
      </c>
      <c r="AC229" s="316">
        <f t="shared" si="49"/>
      </c>
      <c r="AD229" s="316">
        <f t="shared" si="50"/>
      </c>
      <c r="AE229" s="316">
        <f t="shared" si="51"/>
      </c>
      <c r="AG229" s="316">
        <f t="shared" si="53"/>
      </c>
      <c r="AH229" s="316">
        <f t="shared" si="54"/>
        <v>0.9239999999999999</v>
      </c>
      <c r="AI229" s="316">
        <f t="shared" si="55"/>
      </c>
      <c r="AJ229" s="316">
        <f t="shared" si="56"/>
      </c>
      <c r="AK229" s="316">
        <f t="shared" si="57"/>
      </c>
    </row>
    <row r="230" spans="16:37" ht="15">
      <c r="P230" s="312">
        <f t="shared" si="52"/>
        <v>0.1456244593129429</v>
      </c>
      <c r="Q230" s="247">
        <v>225</v>
      </c>
      <c r="R230" s="299">
        <f t="shared" si="58"/>
        <v>0.014375000000000002</v>
      </c>
      <c r="S230" s="250">
        <f t="shared" si="59"/>
        <v>0.9239999999999999</v>
      </c>
      <c r="AA230" s="316">
        <f t="shared" si="47"/>
      </c>
      <c r="AB230" s="316">
        <f t="shared" si="48"/>
        <v>0.014375000000000002</v>
      </c>
      <c r="AC230" s="316">
        <f t="shared" si="49"/>
      </c>
      <c r="AD230" s="316">
        <f t="shared" si="50"/>
      </c>
      <c r="AE230" s="316">
        <f t="shared" si="51"/>
      </c>
      <c r="AG230" s="316">
        <f t="shared" si="53"/>
      </c>
      <c r="AH230" s="316">
        <f t="shared" si="54"/>
        <v>0.9239999999999999</v>
      </c>
      <c r="AI230" s="316">
        <f t="shared" si="55"/>
      </c>
      <c r="AJ230" s="316">
        <f t="shared" si="56"/>
      </c>
      <c r="AK230" s="316">
        <f t="shared" si="57"/>
      </c>
    </row>
    <row r="231" spans="16:37" ht="15">
      <c r="P231" s="312">
        <f t="shared" si="52"/>
        <v>0.14788999135041428</v>
      </c>
      <c r="Q231" s="247">
        <v>226</v>
      </c>
      <c r="R231" s="299">
        <f t="shared" si="58"/>
        <v>0.014375000000000002</v>
      </c>
      <c r="S231" s="250">
        <f t="shared" si="59"/>
        <v>0.9239999999999999</v>
      </c>
      <c r="AA231" s="316">
        <f t="shared" si="47"/>
      </c>
      <c r="AB231" s="316">
        <f t="shared" si="48"/>
        <v>0.014375000000000002</v>
      </c>
      <c r="AC231" s="316">
        <f t="shared" si="49"/>
      </c>
      <c r="AD231" s="316">
        <f t="shared" si="50"/>
      </c>
      <c r="AE231" s="316">
        <f t="shared" si="51"/>
      </c>
      <c r="AG231" s="316">
        <f t="shared" si="53"/>
      </c>
      <c r="AH231" s="316">
        <f t="shared" si="54"/>
        <v>0.9239999999999999</v>
      </c>
      <c r="AI231" s="316">
        <f t="shared" si="55"/>
      </c>
      <c r="AJ231" s="316">
        <f t="shared" si="56"/>
      </c>
      <c r="AK231" s="316">
        <f t="shared" si="57"/>
      </c>
    </row>
    <row r="232" spans="16:37" ht="15">
      <c r="P232" s="312">
        <f t="shared" si="52"/>
        <v>0.15019076908381493</v>
      </c>
      <c r="Q232" s="247">
        <v>227</v>
      </c>
      <c r="R232" s="299">
        <f t="shared" si="58"/>
        <v>0.014375000000000002</v>
      </c>
      <c r="S232" s="250">
        <f t="shared" si="59"/>
        <v>0.9239999999999999</v>
      </c>
      <c r="AA232" s="316">
        <f t="shared" si="47"/>
      </c>
      <c r="AB232" s="316">
        <f t="shared" si="48"/>
        <v>0.014375000000000002</v>
      </c>
      <c r="AC232" s="316">
        <f t="shared" si="49"/>
      </c>
      <c r="AD232" s="316">
        <f t="shared" si="50"/>
      </c>
      <c r="AE232" s="316">
        <f t="shared" si="51"/>
      </c>
      <c r="AG232" s="316">
        <f t="shared" si="53"/>
      </c>
      <c r="AH232" s="316">
        <f t="shared" si="54"/>
        <v>0.9239999999999999</v>
      </c>
      <c r="AI232" s="316">
        <f t="shared" si="55"/>
      </c>
      <c r="AJ232" s="316">
        <f t="shared" si="56"/>
      </c>
      <c r="AK232" s="316">
        <f t="shared" si="57"/>
      </c>
    </row>
    <row r="233" spans="16:37" ht="15">
      <c r="P233" s="312">
        <f t="shared" si="52"/>
        <v>0.15252734084310046</v>
      </c>
      <c r="Q233" s="247">
        <v>228</v>
      </c>
      <c r="R233" s="299">
        <f t="shared" si="58"/>
        <v>0.014375000000000002</v>
      </c>
      <c r="S233" s="250">
        <f t="shared" si="59"/>
        <v>0.9239999999999999</v>
      </c>
      <c r="AA233" s="316">
        <f t="shared" si="47"/>
      </c>
      <c r="AB233" s="316">
        <f t="shared" si="48"/>
        <v>0.014375000000000002</v>
      </c>
      <c r="AC233" s="316">
        <f t="shared" si="49"/>
      </c>
      <c r="AD233" s="316">
        <f t="shared" si="50"/>
      </c>
      <c r="AE233" s="316">
        <f t="shared" si="51"/>
      </c>
      <c r="AG233" s="316">
        <f t="shared" si="53"/>
      </c>
      <c r="AH233" s="316">
        <f t="shared" si="54"/>
        <v>0.9239999999999999</v>
      </c>
      <c r="AI233" s="316">
        <f t="shared" si="55"/>
      </c>
      <c r="AJ233" s="316">
        <f t="shared" si="56"/>
      </c>
      <c r="AK233" s="316">
        <f t="shared" si="57"/>
      </c>
    </row>
    <row r="234" spans="16:37" ht="15">
      <c r="P234" s="312">
        <f t="shared" si="52"/>
        <v>0.15490026348879263</v>
      </c>
      <c r="Q234" s="247">
        <v>229</v>
      </c>
      <c r="R234" s="299">
        <f t="shared" si="58"/>
        <v>0.014375000000000002</v>
      </c>
      <c r="S234" s="250">
        <f t="shared" si="59"/>
        <v>0.9239999999999999</v>
      </c>
      <c r="AA234" s="316">
        <f t="shared" si="47"/>
      </c>
      <c r="AB234" s="316">
        <f t="shared" si="48"/>
        <v>0.014375000000000002</v>
      </c>
      <c r="AC234" s="316">
        <f t="shared" si="49"/>
      </c>
      <c r="AD234" s="316">
        <f t="shared" si="50"/>
      </c>
      <c r="AE234" s="316">
        <f t="shared" si="51"/>
      </c>
      <c r="AG234" s="316">
        <f t="shared" si="53"/>
      </c>
      <c r="AH234" s="316">
        <f t="shared" si="54"/>
        <v>0.9239999999999999</v>
      </c>
      <c r="AI234" s="316">
        <f t="shared" si="55"/>
      </c>
      <c r="AJ234" s="316">
        <f t="shared" si="56"/>
      </c>
      <c r="AK234" s="316">
        <f t="shared" si="57"/>
      </c>
    </row>
    <row r="235" spans="16:37" ht="15">
      <c r="P235" s="312">
        <f t="shared" si="52"/>
        <v>0.1573101025446924</v>
      </c>
      <c r="Q235" s="247">
        <v>230</v>
      </c>
      <c r="R235" s="299">
        <f t="shared" si="58"/>
        <v>0.014375000000000002</v>
      </c>
      <c r="S235" s="250">
        <f t="shared" si="59"/>
        <v>0.9239999999999999</v>
      </c>
      <c r="AA235" s="316">
        <f t="shared" si="47"/>
      </c>
      <c r="AB235" s="316">
        <f t="shared" si="48"/>
        <v>0.014375000000000002</v>
      </c>
      <c r="AC235" s="316">
        <f t="shared" si="49"/>
      </c>
      <c r="AD235" s="316">
        <f t="shared" si="50"/>
      </c>
      <c r="AE235" s="316">
        <f t="shared" si="51"/>
      </c>
      <c r="AG235" s="316">
        <f t="shared" si="53"/>
      </c>
      <c r="AH235" s="316">
        <f t="shared" si="54"/>
        <v>0.9239999999999999</v>
      </c>
      <c r="AI235" s="316">
        <f t="shared" si="55"/>
      </c>
      <c r="AJ235" s="316">
        <f t="shared" si="56"/>
      </c>
      <c r="AK235" s="316">
        <f t="shared" si="57"/>
      </c>
    </row>
    <row r="236" spans="16:37" ht="15">
      <c r="P236" s="312">
        <f t="shared" si="52"/>
        <v>0.15975743233265774</v>
      </c>
      <c r="Q236" s="247">
        <v>231</v>
      </c>
      <c r="R236" s="299">
        <f t="shared" si="58"/>
        <v>0.014375000000000002</v>
      </c>
      <c r="S236" s="250">
        <f t="shared" si="59"/>
        <v>0.9239999999999999</v>
      </c>
      <c r="AA236" s="316">
        <f t="shared" si="47"/>
      </c>
      <c r="AB236" s="316">
        <f t="shared" si="48"/>
        <v>0.014375000000000002</v>
      </c>
      <c r="AC236" s="316">
        <f t="shared" si="49"/>
      </c>
      <c r="AD236" s="316">
        <f t="shared" si="50"/>
      </c>
      <c r="AE236" s="316">
        <f t="shared" si="51"/>
      </c>
      <c r="AG236" s="316">
        <f t="shared" si="53"/>
      </c>
      <c r="AH236" s="316">
        <f t="shared" si="54"/>
        <v>0.9239999999999999</v>
      </c>
      <c r="AI236" s="316">
        <f t="shared" si="55"/>
      </c>
      <c r="AJ236" s="316">
        <f t="shared" si="56"/>
      </c>
      <c r="AK236" s="316">
        <f t="shared" si="57"/>
      </c>
    </row>
    <row r="237" spans="16:37" ht="15">
      <c r="P237" s="312">
        <f t="shared" si="52"/>
        <v>0.16224283610947804</v>
      </c>
      <c r="Q237" s="247">
        <v>232</v>
      </c>
      <c r="R237" s="299">
        <f t="shared" si="58"/>
        <v>0.014375000000000002</v>
      </c>
      <c r="S237" s="250">
        <f t="shared" si="59"/>
        <v>0.9239999999999999</v>
      </c>
      <c r="AA237" s="316">
        <f t="shared" si="47"/>
      </c>
      <c r="AB237" s="316">
        <f t="shared" si="48"/>
        <v>0.014375000000000002</v>
      </c>
      <c r="AC237" s="316">
        <f t="shared" si="49"/>
      </c>
      <c r="AD237" s="316">
        <f t="shared" si="50"/>
      </c>
      <c r="AE237" s="316">
        <f t="shared" si="51"/>
      </c>
      <c r="AG237" s="316">
        <f t="shared" si="53"/>
      </c>
      <c r="AH237" s="316">
        <f t="shared" si="54"/>
        <v>0.9239999999999999</v>
      </c>
      <c r="AI237" s="316">
        <f t="shared" si="55"/>
      </c>
      <c r="AJ237" s="316">
        <f t="shared" si="56"/>
      </c>
      <c r="AK237" s="316">
        <f t="shared" si="57"/>
      </c>
    </row>
    <row r="238" spans="16:37" ht="15">
      <c r="P238" s="312">
        <f t="shared" si="52"/>
        <v>0.1647669062058782</v>
      </c>
      <c r="Q238" s="247">
        <v>233</v>
      </c>
      <c r="R238" s="299">
        <f t="shared" si="58"/>
        <v>0.014375000000000002</v>
      </c>
      <c r="S238" s="250">
        <f t="shared" si="59"/>
        <v>0.9239999999999999</v>
      </c>
      <c r="AA238" s="316">
        <f t="shared" si="47"/>
      </c>
      <c r="AB238" s="316">
        <f t="shared" si="48"/>
        <v>0.014375000000000002</v>
      </c>
      <c r="AC238" s="316">
        <f t="shared" si="49"/>
      </c>
      <c r="AD238" s="316">
        <f t="shared" si="50"/>
      </c>
      <c r="AE238" s="316">
        <f t="shared" si="51"/>
      </c>
      <c r="AG238" s="316">
        <f t="shared" si="53"/>
      </c>
      <c r="AH238" s="316">
        <f t="shared" si="54"/>
        <v>0.9239999999999999</v>
      </c>
      <c r="AI238" s="316">
        <f t="shared" si="55"/>
      </c>
      <c r="AJ238" s="316">
        <f t="shared" si="56"/>
      </c>
      <c r="AK238" s="316">
        <f t="shared" si="57"/>
      </c>
    </row>
    <row r="239" spans="16:37" ht="15">
      <c r="P239" s="312">
        <f t="shared" si="52"/>
        <v>0.16733024416768502</v>
      </c>
      <c r="Q239" s="247">
        <v>234</v>
      </c>
      <c r="R239" s="299">
        <f t="shared" si="58"/>
        <v>0.014375000000000002</v>
      </c>
      <c r="S239" s="250">
        <f t="shared" si="59"/>
        <v>0.9239999999999999</v>
      </c>
      <c r="AA239" s="316">
        <f t="shared" si="47"/>
      </c>
      <c r="AB239" s="316">
        <f t="shared" si="48"/>
        <v>0.014375000000000002</v>
      </c>
      <c r="AC239" s="316">
        <f t="shared" si="49"/>
      </c>
      <c r="AD239" s="316">
        <f t="shared" si="50"/>
      </c>
      <c r="AE239" s="316">
        <f t="shared" si="51"/>
      </c>
      <c r="AG239" s="316">
        <f t="shared" si="53"/>
      </c>
      <c r="AH239" s="316">
        <f t="shared" si="54"/>
        <v>0.9239999999999999</v>
      </c>
      <c r="AI239" s="316">
        <f t="shared" si="55"/>
      </c>
      <c r="AJ239" s="316">
        <f t="shared" si="56"/>
      </c>
      <c r="AK239" s="316">
        <f t="shared" si="57"/>
      </c>
    </row>
    <row r="240" spans="16:37" ht="15">
      <c r="P240" s="312">
        <f t="shared" si="52"/>
        <v>0.16993346089918987</v>
      </c>
      <c r="Q240" s="247">
        <v>235</v>
      </c>
      <c r="R240" s="299">
        <f t="shared" si="58"/>
        <v>0.014375000000000002</v>
      </c>
      <c r="S240" s="250">
        <f t="shared" si="59"/>
        <v>0.9239999999999999</v>
      </c>
      <c r="AA240" s="316">
        <f t="shared" si="47"/>
      </c>
      <c r="AB240" s="316">
        <f t="shared" si="48"/>
        <v>0.014375000000000002</v>
      </c>
      <c r="AC240" s="316">
        <f t="shared" si="49"/>
      </c>
      <c r="AD240" s="316">
        <f t="shared" si="50"/>
      </c>
      <c r="AE240" s="316">
        <f t="shared" si="51"/>
      </c>
      <c r="AG240" s="316">
        <f t="shared" si="53"/>
      </c>
      <c r="AH240" s="316">
        <f t="shared" si="54"/>
        <v>0.9239999999999999</v>
      </c>
      <c r="AI240" s="316">
        <f t="shared" si="55"/>
      </c>
      <c r="AJ240" s="316">
        <f t="shared" si="56"/>
      </c>
      <c r="AK240" s="316">
        <f t="shared" si="57"/>
      </c>
    </row>
    <row r="241" spans="16:37" ht="15">
      <c r="P241" s="312">
        <f t="shared" si="52"/>
        <v>0.17257717680874166</v>
      </c>
      <c r="Q241" s="247">
        <v>236</v>
      </c>
      <c r="R241" s="299">
        <f t="shared" si="58"/>
        <v>0.014375000000000002</v>
      </c>
      <c r="S241" s="250">
        <f t="shared" si="59"/>
        <v>0.9239999999999999</v>
      </c>
      <c r="AA241" s="316">
        <f t="shared" si="47"/>
      </c>
      <c r="AB241" s="316">
        <f t="shared" si="48"/>
        <v>0.014375000000000002</v>
      </c>
      <c r="AC241" s="316">
        <f t="shared" si="49"/>
      </c>
      <c r="AD241" s="316">
        <f t="shared" si="50"/>
      </c>
      <c r="AE241" s="316">
        <f t="shared" si="51"/>
      </c>
      <c r="AG241" s="316">
        <f t="shared" si="53"/>
      </c>
      <c r="AH241" s="316">
        <f t="shared" si="54"/>
        <v>0.9239999999999999</v>
      </c>
      <c r="AI241" s="316">
        <f t="shared" si="55"/>
      </c>
      <c r="AJ241" s="316">
        <f t="shared" si="56"/>
      </c>
      <c r="AK241" s="316">
        <f t="shared" si="57"/>
      </c>
    </row>
    <row r="242" spans="16:37" ht="15">
      <c r="P242" s="312">
        <f t="shared" si="52"/>
        <v>0.17526202195660492</v>
      </c>
      <c r="Q242" s="247">
        <v>237</v>
      </c>
      <c r="R242" s="299">
        <f t="shared" si="58"/>
        <v>0.014375000000000002</v>
      </c>
      <c r="S242" s="250">
        <f t="shared" si="59"/>
        <v>0.9239999999999999</v>
      </c>
      <c r="AA242" s="316">
        <f t="shared" si="47"/>
      </c>
      <c r="AB242" s="316">
        <f t="shared" si="48"/>
        <v>0.014375000000000002</v>
      </c>
      <c r="AC242" s="316">
        <f t="shared" si="49"/>
      </c>
      <c r="AD242" s="316">
        <f t="shared" si="50"/>
      </c>
      <c r="AE242" s="316">
        <f t="shared" si="51"/>
      </c>
      <c r="AG242" s="316">
        <f t="shared" si="53"/>
      </c>
      <c r="AH242" s="316">
        <f t="shared" si="54"/>
        <v>0.9239999999999999</v>
      </c>
      <c r="AI242" s="316">
        <f t="shared" si="55"/>
      </c>
      <c r="AJ242" s="316">
        <f t="shared" si="56"/>
      </c>
      <c r="AK242" s="316">
        <f t="shared" si="57"/>
      </c>
    </row>
    <row r="243" spans="16:37" ht="15">
      <c r="P243" s="312">
        <f t="shared" si="52"/>
        <v>0.17798863620511812</v>
      </c>
      <c r="Q243" s="247">
        <v>238</v>
      </c>
      <c r="R243" s="299">
        <f t="shared" si="58"/>
        <v>0.014375000000000002</v>
      </c>
      <c r="S243" s="250">
        <f t="shared" si="59"/>
        <v>0.9239999999999999</v>
      </c>
      <c r="AA243" s="316">
        <f t="shared" si="47"/>
      </c>
      <c r="AB243" s="316">
        <f t="shared" si="48"/>
        <v>0.014375000000000002</v>
      </c>
      <c r="AC243" s="316">
        <f t="shared" si="49"/>
      </c>
      <c r="AD243" s="316">
        <f t="shared" si="50"/>
      </c>
      <c r="AE243" s="316">
        <f t="shared" si="51"/>
      </c>
      <c r="AG243" s="316">
        <f t="shared" si="53"/>
      </c>
      <c r="AH243" s="316">
        <f t="shared" si="54"/>
        <v>0.9239999999999999</v>
      </c>
      <c r="AI243" s="316">
        <f t="shared" si="55"/>
      </c>
      <c r="AJ243" s="316">
        <f t="shared" si="56"/>
      </c>
      <c r="AK243" s="316">
        <f t="shared" si="57"/>
      </c>
    </row>
    <row r="244" spans="16:37" ht="15">
      <c r="P244" s="312">
        <f t="shared" si="52"/>
        <v>0.180757669371188</v>
      </c>
      <c r="Q244" s="249">
        <v>239</v>
      </c>
      <c r="R244" s="299">
        <f t="shared" si="58"/>
        <v>0.014375000000000002</v>
      </c>
      <c r="S244" s="250">
        <f t="shared" si="59"/>
        <v>0.9239999999999999</v>
      </c>
      <c r="AA244" s="316">
        <f t="shared" si="47"/>
      </c>
      <c r="AB244" s="316">
        <f t="shared" si="48"/>
        <v>0.014375000000000002</v>
      </c>
      <c r="AC244" s="316">
        <f t="shared" si="49"/>
      </c>
      <c r="AD244" s="316">
        <f t="shared" si="50"/>
      </c>
      <c r="AE244" s="316">
        <f t="shared" si="51"/>
      </c>
      <c r="AG244" s="316">
        <f t="shared" si="53"/>
      </c>
      <c r="AH244" s="316">
        <f t="shared" si="54"/>
        <v>0.9239999999999999</v>
      </c>
      <c r="AI244" s="316">
        <f t="shared" si="55"/>
      </c>
      <c r="AJ244" s="316">
        <f t="shared" si="56"/>
      </c>
      <c r="AK244" s="316">
        <f t="shared" si="57"/>
      </c>
    </row>
    <row r="245" spans="16:37" ht="15">
      <c r="P245" s="312">
        <f t="shared" si="52"/>
        <v>0.18356978138115643</v>
      </c>
      <c r="Q245" s="247">
        <v>240</v>
      </c>
      <c r="R245" s="299">
        <f t="shared" si="58"/>
        <v>0.014375000000000002</v>
      </c>
      <c r="S245" s="250">
        <f t="shared" si="59"/>
        <v>0.9239999999999999</v>
      </c>
      <c r="AA245" s="316">
        <f t="shared" si="47"/>
      </c>
      <c r="AB245" s="316">
        <f t="shared" si="48"/>
        <v>0.014375000000000002</v>
      </c>
      <c r="AC245" s="316">
        <f t="shared" si="49"/>
      </c>
      <c r="AD245" s="316">
        <f t="shared" si="50"/>
      </c>
      <c r="AE245" s="316">
        <f t="shared" si="51"/>
      </c>
      <c r="AG245" s="316">
        <f t="shared" si="53"/>
      </c>
      <c r="AH245" s="316">
        <f t="shared" si="54"/>
        <v>0.9239999999999999</v>
      </c>
      <c r="AI245" s="316">
        <f t="shared" si="55"/>
      </c>
      <c r="AJ245" s="316">
        <f t="shared" si="56"/>
      </c>
      <c r="AK245" s="316">
        <f t="shared" si="57"/>
      </c>
    </row>
    <row r="246" spans="16:37" ht="15">
      <c r="P246" s="312">
        <f t="shared" si="52"/>
        <v>0.18642564242807647</v>
      </c>
      <c r="Q246" s="247">
        <v>241</v>
      </c>
      <c r="R246" s="299">
        <f t="shared" si="58"/>
        <v>0.014375000000000002</v>
      </c>
      <c r="S246" s="250">
        <f t="shared" si="59"/>
        <v>0.9239999999999999</v>
      </c>
      <c r="AA246" s="316">
        <f t="shared" si="47"/>
      </c>
      <c r="AB246" s="316">
        <f t="shared" si="48"/>
        <v>0.014375000000000002</v>
      </c>
      <c r="AC246" s="316">
        <f t="shared" si="49"/>
      </c>
      <c r="AD246" s="316">
        <f t="shared" si="50"/>
      </c>
      <c r="AE246" s="316">
        <f t="shared" si="51"/>
      </c>
      <c r="AG246" s="316">
        <f t="shared" si="53"/>
      </c>
      <c r="AH246" s="316">
        <f t="shared" si="54"/>
        <v>0.9239999999999999</v>
      </c>
      <c r="AI246" s="316">
        <f t="shared" si="55"/>
      </c>
      <c r="AJ246" s="316">
        <f t="shared" si="56"/>
      </c>
      <c r="AK246" s="316">
        <f t="shared" si="57"/>
      </c>
    </row>
    <row r="247" spans="16:37" ht="15">
      <c r="P247" s="312">
        <f t="shared" si="52"/>
        <v>0.18932593313143534</v>
      </c>
      <c r="Q247" s="247">
        <v>242</v>
      </c>
      <c r="R247" s="299">
        <f t="shared" si="58"/>
        <v>0.014375000000000002</v>
      </c>
      <c r="S247" s="250">
        <f>0.77*1.2</f>
        <v>0.9239999999999999</v>
      </c>
      <c r="AA247" s="316">
        <f t="shared" si="47"/>
      </c>
      <c r="AB247" s="316">
        <f t="shared" si="48"/>
        <v>0.014375000000000002</v>
      </c>
      <c r="AC247" s="316">
        <f t="shared" si="49"/>
      </c>
      <c r="AD247" s="316">
        <f t="shared" si="50"/>
      </c>
      <c r="AE247" s="316">
        <f t="shared" si="51"/>
      </c>
      <c r="AG247" s="316">
        <f t="shared" si="53"/>
      </c>
      <c r="AH247" s="316">
        <f t="shared" si="54"/>
        <v>0.9239999999999999</v>
      </c>
      <c r="AI247" s="316">
        <f t="shared" si="55"/>
      </c>
      <c r="AJ247" s="316">
        <f t="shared" si="56"/>
      </c>
      <c r="AK247" s="316">
        <f t="shared" si="57"/>
      </c>
    </row>
    <row r="248" spans="16:37" ht="15">
      <c r="P248" s="312">
        <f t="shared" si="52"/>
        <v>0.19227134469936216</v>
      </c>
      <c r="Q248" s="247">
        <v>243</v>
      </c>
      <c r="R248" s="299">
        <f t="shared" si="58"/>
        <v>0.014375000000000002</v>
      </c>
      <c r="S248" s="250">
        <f>0.77*1.2</f>
        <v>0.9239999999999999</v>
      </c>
      <c r="AA248" s="316">
        <f t="shared" si="47"/>
      </c>
      <c r="AB248" s="316">
        <f t="shared" si="48"/>
        <v>0.014375000000000002</v>
      </c>
      <c r="AC248" s="316">
        <f t="shared" si="49"/>
      </c>
      <c r="AD248" s="316">
        <f t="shared" si="50"/>
      </c>
      <c r="AE248" s="316">
        <f t="shared" si="51"/>
      </c>
      <c r="AG248" s="316">
        <f t="shared" si="53"/>
      </c>
      <c r="AH248" s="316">
        <f t="shared" si="54"/>
        <v>0.9239999999999999</v>
      </c>
      <c r="AI248" s="316">
        <f t="shared" si="55"/>
      </c>
      <c r="AJ248" s="316">
        <f t="shared" si="56"/>
      </c>
      <c r="AK248" s="316">
        <f t="shared" si="57"/>
      </c>
    </row>
    <row r="249" spans="16:37" ht="15">
      <c r="P249" s="312">
        <f t="shared" si="52"/>
        <v>0.19526257909335928</v>
      </c>
      <c r="Q249" s="247">
        <v>244</v>
      </c>
      <c r="R249" s="299">
        <f t="shared" si="58"/>
        <v>0.014375000000000002</v>
      </c>
      <c r="S249" s="250">
        <f>0.77*1.2</f>
        <v>0.9239999999999999</v>
      </c>
      <c r="AA249" s="316">
        <f t="shared" si="47"/>
      </c>
      <c r="AB249" s="316">
        <f t="shared" si="48"/>
        <v>0.014375000000000002</v>
      </c>
      <c r="AC249" s="316">
        <f t="shared" si="49"/>
      </c>
      <c r="AD249" s="316">
        <f t="shared" si="50"/>
      </c>
      <c r="AE249" s="316">
        <f t="shared" si="51"/>
      </c>
      <c r="AG249" s="316">
        <f t="shared" si="53"/>
      </c>
      <c r="AH249" s="316">
        <f t="shared" si="54"/>
        <v>0.9239999999999999</v>
      </c>
      <c r="AI249" s="316">
        <f t="shared" si="55"/>
      </c>
      <c r="AJ249" s="316">
        <f t="shared" si="56"/>
      </c>
      <c r="AK249" s="316">
        <f t="shared" si="57"/>
      </c>
    </row>
    <row r="250" spans="16:37" ht="15">
      <c r="P250" s="312">
        <f t="shared" si="52"/>
        <v>0.19830034919559633</v>
      </c>
      <c r="Q250" s="247">
        <v>245</v>
      </c>
      <c r="R250" s="299">
        <f t="shared" si="58"/>
        <v>0.014375000000000002</v>
      </c>
      <c r="S250" s="250">
        <f>0.77*1.2</f>
        <v>0.9239999999999999</v>
      </c>
      <c r="AA250" s="316">
        <f t="shared" si="47"/>
      </c>
      <c r="AB250" s="316">
        <f t="shared" si="48"/>
        <v>0.014375000000000002</v>
      </c>
      <c r="AC250" s="316">
        <f t="shared" si="49"/>
      </c>
      <c r="AD250" s="316">
        <f t="shared" si="50"/>
      </c>
      <c r="AE250" s="316">
        <f t="shared" si="51"/>
      </c>
      <c r="AG250" s="316">
        <f t="shared" si="53"/>
      </c>
      <c r="AH250" s="316">
        <f t="shared" si="54"/>
        <v>0.9239999999999999</v>
      </c>
      <c r="AI250" s="316">
        <f t="shared" si="55"/>
      </c>
      <c r="AJ250" s="316">
        <f t="shared" si="56"/>
      </c>
      <c r="AK250" s="316">
        <f t="shared" si="57"/>
      </c>
    </row>
    <row r="251" spans="16:37" ht="15">
      <c r="P251" s="312">
        <f t="shared" si="52"/>
        <v>0.20138537897880704</v>
      </c>
      <c r="Q251" s="248">
        <v>246</v>
      </c>
      <c r="R251" s="299">
        <f aca="true" t="shared" si="60" ref="R251:R314">0.0137/1.2</f>
        <v>0.011416666666666667</v>
      </c>
      <c r="S251" s="250">
        <f>0.82*1.2</f>
        <v>0.9839999999999999</v>
      </c>
      <c r="AA251" s="316">
        <f t="shared" si="47"/>
      </c>
      <c r="AB251" s="316">
        <f t="shared" si="48"/>
      </c>
      <c r="AC251" s="316">
        <f t="shared" si="49"/>
        <v>0.011416666666666667</v>
      </c>
      <c r="AD251" s="316">
        <f t="shared" si="50"/>
      </c>
      <c r="AE251" s="316">
        <f t="shared" si="51"/>
      </c>
      <c r="AG251" s="316">
        <f t="shared" si="53"/>
      </c>
      <c r="AH251" s="316">
        <f t="shared" si="54"/>
      </c>
      <c r="AI251" s="316">
        <f t="shared" si="55"/>
        <v>0.9839999999999999</v>
      </c>
      <c r="AJ251" s="316">
        <f t="shared" si="56"/>
      </c>
      <c r="AK251" s="316">
        <f t="shared" si="57"/>
      </c>
    </row>
    <row r="252" spans="16:37" ht="15">
      <c r="P252" s="312">
        <f t="shared" si="52"/>
        <v>0.20372191327082065</v>
      </c>
      <c r="Q252" s="247">
        <v>247</v>
      </c>
      <c r="R252" s="299">
        <f t="shared" si="60"/>
        <v>0.011416666666666667</v>
      </c>
      <c r="S252" s="250">
        <f aca="true" t="shared" si="61" ref="S252:S315">0.82*1.2</f>
        <v>0.9839999999999999</v>
      </c>
      <c r="AA252" s="316">
        <f t="shared" si="47"/>
      </c>
      <c r="AB252" s="316">
        <f t="shared" si="48"/>
      </c>
      <c r="AC252" s="316">
        <f t="shared" si="49"/>
        <v>0.011416666666666667</v>
      </c>
      <c r="AD252" s="316">
        <f t="shared" si="50"/>
      </c>
      <c r="AE252" s="316">
        <f t="shared" si="51"/>
      </c>
      <c r="AG252" s="316">
        <f t="shared" si="53"/>
      </c>
      <c r="AH252" s="316">
        <f t="shared" si="54"/>
      </c>
      <c r="AI252" s="316">
        <f t="shared" si="55"/>
        <v>0.9839999999999999</v>
      </c>
      <c r="AJ252" s="316">
        <f t="shared" si="56"/>
      </c>
      <c r="AK252" s="316">
        <f t="shared" si="57"/>
      </c>
    </row>
    <row r="253" spans="16:37" ht="15">
      <c r="P253" s="312">
        <f t="shared" si="52"/>
        <v>0.20608555674288218</v>
      </c>
      <c r="Q253" s="247">
        <v>248</v>
      </c>
      <c r="R253" s="299">
        <f t="shared" si="60"/>
        <v>0.011416666666666667</v>
      </c>
      <c r="S253" s="250">
        <f t="shared" si="61"/>
        <v>0.9839999999999999</v>
      </c>
      <c r="AA253" s="316">
        <f t="shared" si="47"/>
      </c>
      <c r="AB253" s="316">
        <f t="shared" si="48"/>
      </c>
      <c r="AC253" s="316">
        <f t="shared" si="49"/>
        <v>0.011416666666666667</v>
      </c>
      <c r="AD253" s="316">
        <f t="shared" si="50"/>
      </c>
      <c r="AE253" s="316">
        <f t="shared" si="51"/>
      </c>
      <c r="AG253" s="316">
        <f t="shared" si="53"/>
      </c>
      <c r="AH253" s="316">
        <f t="shared" si="54"/>
      </c>
      <c r="AI253" s="316">
        <f t="shared" si="55"/>
        <v>0.9839999999999999</v>
      </c>
      <c r="AJ253" s="316">
        <f t="shared" si="56"/>
      </c>
      <c r="AK253" s="316">
        <f t="shared" si="57"/>
      </c>
    </row>
    <row r="254" spans="16:37" ht="15">
      <c r="P254" s="312">
        <f t="shared" si="52"/>
        <v>0.2084766239239268</v>
      </c>
      <c r="Q254" s="247">
        <v>249</v>
      </c>
      <c r="R254" s="299">
        <f t="shared" si="60"/>
        <v>0.011416666666666667</v>
      </c>
      <c r="S254" s="250">
        <f t="shared" si="61"/>
        <v>0.9839999999999999</v>
      </c>
      <c r="AA254" s="316">
        <f t="shared" si="47"/>
      </c>
      <c r="AB254" s="316">
        <f t="shared" si="48"/>
      </c>
      <c r="AC254" s="316">
        <f t="shared" si="49"/>
        <v>0.011416666666666667</v>
      </c>
      <c r="AD254" s="316">
        <f t="shared" si="50"/>
      </c>
      <c r="AE254" s="316">
        <f t="shared" si="51"/>
      </c>
      <c r="AG254" s="316">
        <f t="shared" si="53"/>
      </c>
      <c r="AH254" s="316">
        <f t="shared" si="54"/>
      </c>
      <c r="AI254" s="316">
        <f t="shared" si="55"/>
        <v>0.9839999999999999</v>
      </c>
      <c r="AJ254" s="316">
        <f t="shared" si="56"/>
      </c>
      <c r="AK254" s="316">
        <f t="shared" si="57"/>
      </c>
    </row>
    <row r="255" spans="16:37" ht="15">
      <c r="P255" s="312">
        <f t="shared" si="52"/>
        <v>0.21089543299214986</v>
      </c>
      <c r="Q255" s="247">
        <v>250</v>
      </c>
      <c r="R255" s="299">
        <f t="shared" si="60"/>
        <v>0.011416666666666667</v>
      </c>
      <c r="S255" s="250">
        <f t="shared" si="61"/>
        <v>0.9839999999999999</v>
      </c>
      <c r="AA255" s="316">
        <f t="shared" si="47"/>
      </c>
      <c r="AB255" s="316">
        <f t="shared" si="48"/>
      </c>
      <c r="AC255" s="316">
        <f t="shared" si="49"/>
        <v>0.011416666666666667</v>
      </c>
      <c r="AD255" s="316">
        <f t="shared" si="50"/>
      </c>
      <c r="AE255" s="316">
        <f t="shared" si="51"/>
      </c>
      <c r="AG255" s="316">
        <f t="shared" si="53"/>
      </c>
      <c r="AH255" s="316">
        <f t="shared" si="54"/>
      </c>
      <c r="AI255" s="316">
        <f t="shared" si="55"/>
        <v>0.9839999999999999</v>
      </c>
      <c r="AJ255" s="316">
        <f t="shared" si="56"/>
      </c>
      <c r="AK255" s="316">
        <f t="shared" si="57"/>
      </c>
    </row>
    <row r="256" spans="16:37" ht="15">
      <c r="P256" s="312">
        <f t="shared" si="52"/>
        <v>0.21334230581734673</v>
      </c>
      <c r="Q256" s="247">
        <v>251</v>
      </c>
      <c r="R256" s="299">
        <f t="shared" si="60"/>
        <v>0.011416666666666667</v>
      </c>
      <c r="S256" s="250">
        <f t="shared" si="61"/>
        <v>0.9839999999999999</v>
      </c>
      <c r="AA256" s="316">
        <f t="shared" si="47"/>
      </c>
      <c r="AB256" s="316">
        <f t="shared" si="48"/>
      </c>
      <c r="AC256" s="316">
        <f t="shared" si="49"/>
        <v>0.011416666666666667</v>
      </c>
      <c r="AD256" s="316">
        <f t="shared" si="50"/>
      </c>
      <c r="AE256" s="316">
        <f t="shared" si="51"/>
      </c>
      <c r="AG256" s="316">
        <f t="shared" si="53"/>
      </c>
      <c r="AH256" s="316">
        <f t="shared" si="54"/>
      </c>
      <c r="AI256" s="316">
        <f t="shared" si="55"/>
        <v>0.9839999999999999</v>
      </c>
      <c r="AJ256" s="316">
        <f t="shared" si="56"/>
      </c>
      <c r="AK256" s="316">
        <f t="shared" si="57"/>
      </c>
    </row>
    <row r="257" spans="16:37" ht="15">
      <c r="P257" s="312">
        <f t="shared" si="52"/>
        <v>0.2158175680037438</v>
      </c>
      <c r="Q257" s="247">
        <v>252</v>
      </c>
      <c r="R257" s="299">
        <f t="shared" si="60"/>
        <v>0.011416666666666667</v>
      </c>
      <c r="S257" s="250">
        <f t="shared" si="61"/>
        <v>0.9839999999999999</v>
      </c>
      <c r="AA257" s="316">
        <f t="shared" si="47"/>
      </c>
      <c r="AB257" s="316">
        <f t="shared" si="48"/>
      </c>
      <c r="AC257" s="316">
        <f t="shared" si="49"/>
        <v>0.011416666666666667</v>
      </c>
      <c r="AD257" s="316">
        <f t="shared" si="50"/>
      </c>
      <c r="AE257" s="316">
        <f t="shared" si="51"/>
      </c>
      <c r="AG257" s="316">
        <f t="shared" si="53"/>
      </c>
      <c r="AH257" s="316">
        <f t="shared" si="54"/>
      </c>
      <c r="AI257" s="316">
        <f t="shared" si="55"/>
        <v>0.9839999999999999</v>
      </c>
      <c r="AJ257" s="316">
        <f t="shared" si="56"/>
      </c>
      <c r="AK257" s="316">
        <f t="shared" si="57"/>
      </c>
    </row>
    <row r="258" spans="16:37" ht="15">
      <c r="P258" s="312">
        <f t="shared" si="52"/>
        <v>0.21832154893332653</v>
      </c>
      <c r="Q258" s="247">
        <v>253</v>
      </c>
      <c r="R258" s="299">
        <f t="shared" si="60"/>
        <v>0.011416666666666667</v>
      </c>
      <c r="S258" s="250">
        <f t="shared" si="61"/>
        <v>0.9839999999999999</v>
      </c>
      <c r="AA258" s="316">
        <f t="shared" si="47"/>
      </c>
      <c r="AB258" s="316">
        <f t="shared" si="48"/>
      </c>
      <c r="AC258" s="316">
        <f t="shared" si="49"/>
        <v>0.011416666666666667</v>
      </c>
      <c r="AD258" s="316">
        <f t="shared" si="50"/>
      </c>
      <c r="AE258" s="316">
        <f t="shared" si="51"/>
      </c>
      <c r="AG258" s="316">
        <f t="shared" si="53"/>
      </c>
      <c r="AH258" s="316">
        <f t="shared" si="54"/>
      </c>
      <c r="AI258" s="316">
        <f t="shared" si="55"/>
        <v>0.9839999999999999</v>
      </c>
      <c r="AJ258" s="316">
        <f t="shared" si="56"/>
      </c>
      <c r="AK258" s="316">
        <f t="shared" si="57"/>
      </c>
    </row>
    <row r="259" spans="16:37" ht="15">
      <c r="P259" s="312">
        <f t="shared" si="52"/>
        <v>0.2208545818096702</v>
      </c>
      <c r="Q259" s="247">
        <v>254</v>
      </c>
      <c r="R259" s="299">
        <f t="shared" si="60"/>
        <v>0.011416666666666667</v>
      </c>
      <c r="S259" s="250">
        <f t="shared" si="61"/>
        <v>0.9839999999999999</v>
      </c>
      <c r="AA259" s="316">
        <f t="shared" si="47"/>
      </c>
      <c r="AB259" s="316">
        <f t="shared" si="48"/>
      </c>
      <c r="AC259" s="316">
        <f t="shared" si="49"/>
        <v>0.011416666666666667</v>
      </c>
      <c r="AD259" s="316">
        <f t="shared" si="50"/>
      </c>
      <c r="AE259" s="316">
        <f t="shared" si="51"/>
      </c>
      <c r="AG259" s="316">
        <f t="shared" si="53"/>
      </c>
      <c r="AH259" s="316">
        <f t="shared" si="54"/>
      </c>
      <c r="AI259" s="316">
        <f t="shared" si="55"/>
        <v>0.9839999999999999</v>
      </c>
      <c r="AJ259" s="316">
        <f t="shared" si="56"/>
      </c>
      <c r="AK259" s="316">
        <f t="shared" si="57"/>
      </c>
    </row>
    <row r="260" spans="16:37" ht="15">
      <c r="P260" s="312">
        <f t="shared" si="52"/>
        <v>0.223417003702279</v>
      </c>
      <c r="Q260" s="247">
        <v>255</v>
      </c>
      <c r="R260" s="299">
        <f t="shared" si="60"/>
        <v>0.011416666666666667</v>
      </c>
      <c r="S260" s="250">
        <f t="shared" si="61"/>
        <v>0.9839999999999999</v>
      </c>
      <c r="AA260" s="316">
        <f t="shared" si="47"/>
      </c>
      <c r="AB260" s="316">
        <f t="shared" si="48"/>
      </c>
      <c r="AC260" s="316">
        <f t="shared" si="49"/>
        <v>0.011416666666666667</v>
      </c>
      <c r="AD260" s="316">
        <f t="shared" si="50"/>
      </c>
      <c r="AE260" s="316">
        <f t="shared" si="51"/>
      </c>
      <c r="AG260" s="316">
        <f t="shared" si="53"/>
      </c>
      <c r="AH260" s="316">
        <f t="shared" si="54"/>
      </c>
      <c r="AI260" s="316">
        <f t="shared" si="55"/>
        <v>0.9839999999999999</v>
      </c>
      <c r="AJ260" s="316">
        <f t="shared" si="56"/>
      </c>
      <c r="AK260" s="316">
        <f t="shared" si="57"/>
      </c>
    </row>
    <row r="261" spans="16:37" ht="15">
      <c r="P261" s="312">
        <f t="shared" si="52"/>
        <v>0.22600915559143991</v>
      </c>
      <c r="Q261" s="247">
        <v>256</v>
      </c>
      <c r="R261" s="299">
        <f t="shared" si="60"/>
        <v>0.011416666666666667</v>
      </c>
      <c r="S261" s="250">
        <f t="shared" si="61"/>
        <v>0.9839999999999999</v>
      </c>
      <c r="AA261" s="316">
        <f t="shared" si="47"/>
      </c>
      <c r="AB261" s="316">
        <f t="shared" si="48"/>
      </c>
      <c r="AC261" s="316">
        <f t="shared" si="49"/>
        <v>0.011416666666666667</v>
      </c>
      <c r="AD261" s="316">
        <f t="shared" si="50"/>
      </c>
      <c r="AE261" s="316">
        <f t="shared" si="51"/>
      </c>
      <c r="AG261" s="316">
        <f t="shared" si="53"/>
      </c>
      <c r="AH261" s="316">
        <f t="shared" si="54"/>
      </c>
      <c r="AI261" s="316">
        <f t="shared" si="55"/>
        <v>0.9839999999999999</v>
      </c>
      <c r="AJ261" s="316">
        <f t="shared" si="56"/>
      </c>
      <c r="AK261" s="316">
        <f t="shared" si="57"/>
      </c>
    </row>
    <row r="262" spans="16:37" ht="15">
      <c r="P262" s="312">
        <f t="shared" si="52"/>
        <v>0.2286313824135967</v>
      </c>
      <c r="Q262" s="247">
        <v>257</v>
      </c>
      <c r="R262" s="299">
        <f t="shared" si="60"/>
        <v>0.011416666666666667</v>
      </c>
      <c r="S262" s="250">
        <f t="shared" si="61"/>
        <v>0.9839999999999999</v>
      </c>
      <c r="AA262" s="316">
        <f aca="true" t="shared" si="62" ref="AA262:AA325">IF(P262&gt;=$F$17,IF(P262&lt;$F$18,R262,""),"")</f>
      </c>
      <c r="AB262" s="316">
        <f aca="true" t="shared" si="63" ref="AB262:AB325">IF(P262&gt;=$G$17,IF(P262&lt;$G$18,R262,""),"")</f>
      </c>
      <c r="AC262" s="316">
        <f aca="true" t="shared" si="64" ref="AC262:AC325">IF(P262&gt;=$H$17,IF(P262&lt;$H$18,R262,""),"")</f>
        <v>0.011416666666666667</v>
      </c>
      <c r="AD262" s="316">
        <f aca="true" t="shared" si="65" ref="AD262:AD325">IF(P262&gt;=$I$17,IF(P262&lt;$I$18,R262,""),"")</f>
      </c>
      <c r="AE262" s="316">
        <f aca="true" t="shared" si="66" ref="AE262:AE325">IF(P262&gt;=$J$17,IF(P262&lt;$J$18,R262,""),"")</f>
      </c>
      <c r="AG262" s="316">
        <f t="shared" si="53"/>
      </c>
      <c r="AH262" s="316">
        <f t="shared" si="54"/>
      </c>
      <c r="AI262" s="316">
        <f t="shared" si="55"/>
        <v>0.9839999999999999</v>
      </c>
      <c r="AJ262" s="316">
        <f t="shared" si="56"/>
      </c>
      <c r="AK262" s="316">
        <f t="shared" si="57"/>
      </c>
    </row>
    <row r="263" spans="16:37" ht="15">
      <c r="P263" s="312">
        <f aca="true" t="shared" si="67" ref="P263:P326">P262+(P262*R262/S262)</f>
        <v>0.2312840331072504</v>
      </c>
      <c r="Q263" s="247">
        <v>258</v>
      </c>
      <c r="R263" s="299">
        <f t="shared" si="60"/>
        <v>0.011416666666666667</v>
      </c>
      <c r="S263" s="250">
        <f t="shared" si="61"/>
        <v>0.9839999999999999</v>
      </c>
      <c r="AA263" s="316">
        <f t="shared" si="62"/>
      </c>
      <c r="AB263" s="316">
        <f t="shared" si="63"/>
      </c>
      <c r="AC263" s="316">
        <f t="shared" si="64"/>
        <v>0.011416666666666667</v>
      </c>
      <c r="AD263" s="316">
        <f t="shared" si="65"/>
      </c>
      <c r="AE263" s="316">
        <f t="shared" si="66"/>
      </c>
      <c r="AG263" s="316">
        <f aca="true" t="shared" si="68" ref="AG263:AG326">IF(P263&gt;=$F$17,IF(P263&lt;$F$18,S263,""),"")</f>
      </c>
      <c r="AH263" s="316">
        <f aca="true" t="shared" si="69" ref="AH263:AH326">IF(P263&gt;=$G$17,IF(P263&lt;$G$18,S263,""),"")</f>
      </c>
      <c r="AI263" s="316">
        <f aca="true" t="shared" si="70" ref="AI263:AI326">IF(P263&gt;=$H$17,IF(P263&lt;$H$18,S263,""),"")</f>
        <v>0.9839999999999999</v>
      </c>
      <c r="AJ263" s="316">
        <f aca="true" t="shared" si="71" ref="AJ263:AJ326">IF(P263&gt;=$I$17,IF(P263&lt;$I$18,S263,""),"")</f>
      </c>
      <c r="AK263" s="316">
        <f aca="true" t="shared" si="72" ref="AK263:AK326">IF(P263&gt;=$J$17,IF(P263&lt;$J$18,S263,""),"")</f>
      </c>
    </row>
    <row r="264" spans="16:37" ht="15">
      <c r="P264" s="312">
        <f t="shared" si="67"/>
        <v>0.23396746065939245</v>
      </c>
      <c r="Q264" s="247">
        <v>259</v>
      </c>
      <c r="R264" s="299">
        <f t="shared" si="60"/>
        <v>0.011416666666666667</v>
      </c>
      <c r="S264" s="250">
        <f t="shared" si="61"/>
        <v>0.9839999999999999</v>
      </c>
      <c r="AA264" s="316">
        <f t="shared" si="62"/>
      </c>
      <c r="AB264" s="316">
        <f t="shared" si="63"/>
      </c>
      <c r="AC264" s="316">
        <f t="shared" si="64"/>
        <v>0.011416666666666667</v>
      </c>
      <c r="AD264" s="316">
        <f t="shared" si="65"/>
      </c>
      <c r="AE264" s="316">
        <f t="shared" si="66"/>
      </c>
      <c r="AG264" s="316">
        <f t="shared" si="68"/>
      </c>
      <c r="AH264" s="316">
        <f t="shared" si="69"/>
      </c>
      <c r="AI264" s="316">
        <f t="shared" si="70"/>
        <v>0.9839999999999999</v>
      </c>
      <c r="AJ264" s="316">
        <f t="shared" si="71"/>
      </c>
      <c r="AK264" s="316">
        <f t="shared" si="72"/>
      </c>
    </row>
    <row r="265" spans="16:37" ht="15">
      <c r="P265" s="312">
        <f t="shared" si="67"/>
        <v>0.23668202215247652</v>
      </c>
      <c r="Q265" s="247">
        <v>260</v>
      </c>
      <c r="R265" s="299">
        <f t="shared" si="60"/>
        <v>0.011416666666666667</v>
      </c>
      <c r="S265" s="250">
        <f t="shared" si="61"/>
        <v>0.9839999999999999</v>
      </c>
      <c r="AA265" s="316">
        <f t="shared" si="62"/>
      </c>
      <c r="AB265" s="316">
        <f t="shared" si="63"/>
      </c>
      <c r="AC265" s="316">
        <f t="shared" si="64"/>
        <v>0.011416666666666667</v>
      </c>
      <c r="AD265" s="316">
        <f t="shared" si="65"/>
      </c>
      <c r="AE265" s="316">
        <f t="shared" si="66"/>
      </c>
      <c r="AG265" s="316">
        <f t="shared" si="68"/>
      </c>
      <c r="AH265" s="316">
        <f t="shared" si="69"/>
      </c>
      <c r="AI265" s="316">
        <f t="shared" si="70"/>
        <v>0.9839999999999999</v>
      </c>
      <c r="AJ265" s="316">
        <f t="shared" si="71"/>
      </c>
      <c r="AK265" s="316">
        <f t="shared" si="72"/>
      </c>
    </row>
    <row r="266" spans="16:37" ht="15">
      <c r="P266" s="312">
        <f t="shared" si="67"/>
        <v>0.2394280788119353</v>
      </c>
      <c r="Q266" s="247">
        <v>261</v>
      </c>
      <c r="R266" s="299">
        <f t="shared" si="60"/>
        <v>0.011416666666666667</v>
      </c>
      <c r="S266" s="250">
        <f t="shared" si="61"/>
        <v>0.9839999999999999</v>
      </c>
      <c r="AA266" s="316">
        <f t="shared" si="62"/>
      </c>
      <c r="AB266" s="316">
        <f t="shared" si="63"/>
      </c>
      <c r="AC266" s="316">
        <f t="shared" si="64"/>
        <v>0.011416666666666667</v>
      </c>
      <c r="AD266" s="316">
        <f t="shared" si="65"/>
      </c>
      <c r="AE266" s="316">
        <f t="shared" si="66"/>
      </c>
      <c r="AG266" s="316">
        <f t="shared" si="68"/>
      </c>
      <c r="AH266" s="316">
        <f t="shared" si="69"/>
      </c>
      <c r="AI266" s="316">
        <f t="shared" si="70"/>
        <v>0.9839999999999999</v>
      </c>
      <c r="AJ266" s="316">
        <f t="shared" si="71"/>
      </c>
      <c r="AK266" s="316">
        <f t="shared" si="72"/>
      </c>
    </row>
    <row r="267" spans="16:37" ht="15">
      <c r="P267" s="312">
        <f t="shared" si="67"/>
        <v>0.24220599605424858</v>
      </c>
      <c r="Q267" s="247">
        <v>262</v>
      </c>
      <c r="R267" s="299">
        <f t="shared" si="60"/>
        <v>0.011416666666666667</v>
      </c>
      <c r="S267" s="250">
        <f t="shared" si="61"/>
        <v>0.9839999999999999</v>
      </c>
      <c r="AA267" s="316">
        <f t="shared" si="62"/>
      </c>
      <c r="AB267" s="316">
        <f t="shared" si="63"/>
      </c>
      <c r="AC267" s="316">
        <f t="shared" si="64"/>
        <v>0.011416666666666667</v>
      </c>
      <c r="AD267" s="316">
        <f t="shared" si="65"/>
      </c>
      <c r="AE267" s="316">
        <f t="shared" si="66"/>
      </c>
      <c r="AG267" s="316">
        <f t="shared" si="68"/>
      </c>
      <c r="AH267" s="316">
        <f t="shared" si="69"/>
      </c>
      <c r="AI267" s="316">
        <f t="shared" si="70"/>
        <v>0.9839999999999999</v>
      </c>
      <c r="AJ267" s="316">
        <f t="shared" si="71"/>
      </c>
      <c r="AK267" s="316">
        <f t="shared" si="72"/>
      </c>
    </row>
    <row r="268" spans="16:37" ht="15">
      <c r="P268" s="312">
        <f t="shared" si="67"/>
        <v>0.24501614353556905</v>
      </c>
      <c r="Q268" s="247">
        <v>263</v>
      </c>
      <c r="R268" s="299">
        <f t="shared" si="60"/>
        <v>0.011416666666666667</v>
      </c>
      <c r="S268" s="250">
        <f t="shared" si="61"/>
        <v>0.9839999999999999</v>
      </c>
      <c r="AA268" s="316">
        <f t="shared" si="62"/>
      </c>
      <c r="AB268" s="316">
        <f t="shared" si="63"/>
      </c>
      <c r="AC268" s="316">
        <f t="shared" si="64"/>
        <v>0.011416666666666667</v>
      </c>
      <c r="AD268" s="316">
        <f t="shared" si="65"/>
      </c>
      <c r="AE268" s="316">
        <f t="shared" si="66"/>
      </c>
      <c r="AG268" s="316">
        <f t="shared" si="68"/>
      </c>
      <c r="AH268" s="316">
        <f t="shared" si="69"/>
      </c>
      <c r="AI268" s="316">
        <f t="shared" si="70"/>
        <v>0.9839999999999999</v>
      </c>
      <c r="AJ268" s="316">
        <f t="shared" si="71"/>
      </c>
      <c r="AK268" s="316">
        <f t="shared" si="72"/>
      </c>
    </row>
    <row r="269" spans="16:37" ht="15">
      <c r="P269" s="312">
        <f t="shared" si="67"/>
        <v>0.24785889520091228</v>
      </c>
      <c r="Q269" s="247">
        <v>264</v>
      </c>
      <c r="R269" s="299">
        <f t="shared" si="60"/>
        <v>0.011416666666666667</v>
      </c>
      <c r="S269" s="250">
        <f t="shared" si="61"/>
        <v>0.9839999999999999</v>
      </c>
      <c r="AA269" s="316">
        <f t="shared" si="62"/>
      </c>
      <c r="AB269" s="316">
        <f t="shared" si="63"/>
      </c>
      <c r="AC269" s="316">
        <f t="shared" si="64"/>
        <v>0.011416666666666667</v>
      </c>
      <c r="AD269" s="316">
        <f t="shared" si="65"/>
      </c>
      <c r="AE269" s="316">
        <f t="shared" si="66"/>
      </c>
      <c r="AG269" s="316">
        <f t="shared" si="68"/>
      </c>
      <c r="AH269" s="316">
        <f t="shared" si="69"/>
      </c>
      <c r="AI269" s="316">
        <f t="shared" si="70"/>
        <v>0.9839999999999999</v>
      </c>
      <c r="AJ269" s="316">
        <f t="shared" si="71"/>
      </c>
      <c r="AK269" s="316">
        <f t="shared" si="72"/>
      </c>
    </row>
    <row r="270" spans="16:37" ht="15">
      <c r="P270" s="312">
        <f t="shared" si="67"/>
        <v>0.25073462933391744</v>
      </c>
      <c r="Q270" s="247">
        <v>265</v>
      </c>
      <c r="R270" s="299">
        <f t="shared" si="60"/>
        <v>0.011416666666666667</v>
      </c>
      <c r="S270" s="250">
        <f t="shared" si="61"/>
        <v>0.9839999999999999</v>
      </c>
      <c r="AA270" s="316">
        <f t="shared" si="62"/>
      </c>
      <c r="AB270" s="316">
        <f t="shared" si="63"/>
      </c>
      <c r="AC270" s="316">
        <f t="shared" si="64"/>
        <v>0.011416666666666667</v>
      </c>
      <c r="AD270" s="316">
        <f t="shared" si="65"/>
      </c>
      <c r="AE270" s="316">
        <f t="shared" si="66"/>
      </c>
      <c r="AG270" s="316">
        <f t="shared" si="68"/>
      </c>
      <c r="AH270" s="316">
        <f t="shared" si="69"/>
      </c>
      <c r="AI270" s="316">
        <f t="shared" si="70"/>
        <v>0.9839999999999999</v>
      </c>
      <c r="AJ270" s="316">
        <f t="shared" si="71"/>
      </c>
      <c r="AK270" s="316">
        <f t="shared" si="72"/>
      </c>
    </row>
    <row r="271" spans="16:37" ht="15">
      <c r="P271" s="312">
        <f t="shared" si="67"/>
        <v>0.25364372860718526</v>
      </c>
      <c r="Q271" s="247">
        <v>266</v>
      </c>
      <c r="R271" s="299">
        <f t="shared" si="60"/>
        <v>0.011416666666666667</v>
      </c>
      <c r="S271" s="250">
        <f t="shared" si="61"/>
        <v>0.9839999999999999</v>
      </c>
      <c r="AA271" s="316">
        <f t="shared" si="62"/>
      </c>
      <c r="AB271" s="316">
        <f t="shared" si="63"/>
      </c>
      <c r="AC271" s="316">
        <f t="shared" si="64"/>
        <v>0.011416666666666667</v>
      </c>
      <c r="AD271" s="316">
        <f t="shared" si="65"/>
      </c>
      <c r="AE271" s="316">
        <f t="shared" si="66"/>
      </c>
      <c r="AG271" s="316">
        <f t="shared" si="68"/>
      </c>
      <c r="AH271" s="316">
        <f t="shared" si="69"/>
      </c>
      <c r="AI271" s="316">
        <f t="shared" si="70"/>
        <v>0.9839999999999999</v>
      </c>
      <c r="AJ271" s="316">
        <f t="shared" si="71"/>
      </c>
      <c r="AK271" s="316">
        <f t="shared" si="72"/>
      </c>
    </row>
    <row r="272" spans="16:37" ht="15">
      <c r="P272" s="312">
        <f t="shared" si="67"/>
        <v>0.2565865801332002</v>
      </c>
      <c r="Q272" s="247">
        <v>267</v>
      </c>
      <c r="R272" s="299">
        <f t="shared" si="60"/>
        <v>0.011416666666666667</v>
      </c>
      <c r="S272" s="250">
        <f t="shared" si="61"/>
        <v>0.9839999999999999</v>
      </c>
      <c r="AA272" s="316">
        <f t="shared" si="62"/>
      </c>
      <c r="AB272" s="316">
        <f t="shared" si="63"/>
      </c>
      <c r="AC272" s="316">
        <f t="shared" si="64"/>
        <v>0.011416666666666667</v>
      </c>
      <c r="AD272" s="316">
        <f t="shared" si="65"/>
      </c>
      <c r="AE272" s="316">
        <f t="shared" si="66"/>
      </c>
      <c r="AG272" s="316">
        <f t="shared" si="68"/>
      </c>
      <c r="AH272" s="316">
        <f t="shared" si="69"/>
      </c>
      <c r="AI272" s="316">
        <f t="shared" si="70"/>
        <v>0.9839999999999999</v>
      </c>
      <c r="AJ272" s="316">
        <f t="shared" si="71"/>
      </c>
      <c r="AK272" s="316">
        <f t="shared" si="72"/>
      </c>
    </row>
    <row r="273" spans="16:37" ht="15">
      <c r="P273" s="312">
        <f t="shared" si="67"/>
        <v>0.2595635755158432</v>
      </c>
      <c r="Q273" s="247">
        <v>268</v>
      </c>
      <c r="R273" s="299">
        <f t="shared" si="60"/>
        <v>0.011416666666666667</v>
      </c>
      <c r="S273" s="250">
        <f t="shared" si="61"/>
        <v>0.9839999999999999</v>
      </c>
      <c r="AA273" s="316">
        <f t="shared" si="62"/>
      </c>
      <c r="AB273" s="316">
        <f t="shared" si="63"/>
      </c>
      <c r="AC273" s="316">
        <f t="shared" si="64"/>
        <v>0.011416666666666667</v>
      </c>
      <c r="AD273" s="316">
        <f t="shared" si="65"/>
      </c>
      <c r="AE273" s="316">
        <f t="shared" si="66"/>
      </c>
      <c r="AG273" s="316">
        <f t="shared" si="68"/>
      </c>
      <c r="AH273" s="316">
        <f t="shared" si="69"/>
      </c>
      <c r="AI273" s="316">
        <f t="shared" si="70"/>
        <v>0.9839999999999999</v>
      </c>
      <c r="AJ273" s="316">
        <f t="shared" si="71"/>
      </c>
      <c r="AK273" s="316">
        <f t="shared" si="72"/>
      </c>
    </row>
    <row r="274" spans="16:37" ht="15">
      <c r="P274" s="312">
        <f t="shared" si="67"/>
        <v>0.2625751109025023</v>
      </c>
      <c r="Q274" s="247">
        <v>269</v>
      </c>
      <c r="R274" s="299">
        <f t="shared" si="60"/>
        <v>0.011416666666666667</v>
      </c>
      <c r="S274" s="250">
        <f t="shared" si="61"/>
        <v>0.9839999999999999</v>
      </c>
      <c r="AA274" s="316">
        <f t="shared" si="62"/>
      </c>
      <c r="AB274" s="316">
        <f t="shared" si="63"/>
      </c>
      <c r="AC274" s="316">
        <f t="shared" si="64"/>
        <v>0.011416666666666667</v>
      </c>
      <c r="AD274" s="316">
        <f t="shared" si="65"/>
      </c>
      <c r="AE274" s="316">
        <f t="shared" si="66"/>
      </c>
      <c r="AG274" s="316">
        <f t="shared" si="68"/>
      </c>
      <c r="AH274" s="316">
        <f t="shared" si="69"/>
      </c>
      <c r="AI274" s="316">
        <f t="shared" si="70"/>
        <v>0.9839999999999999</v>
      </c>
      <c r="AJ274" s="316">
        <f t="shared" si="71"/>
      </c>
      <c r="AK274" s="316">
        <f t="shared" si="72"/>
      </c>
    </row>
    <row r="275" spans="16:37" ht="15">
      <c r="P275" s="312">
        <f t="shared" si="67"/>
        <v>0.2656215870367878</v>
      </c>
      <c r="Q275" s="247">
        <v>270</v>
      </c>
      <c r="R275" s="299">
        <f t="shared" si="60"/>
        <v>0.011416666666666667</v>
      </c>
      <c r="S275" s="250">
        <f t="shared" si="61"/>
        <v>0.9839999999999999</v>
      </c>
      <c r="AA275" s="316">
        <f t="shared" si="62"/>
      </c>
      <c r="AB275" s="316">
        <f t="shared" si="63"/>
      </c>
      <c r="AC275" s="316">
        <f t="shared" si="64"/>
        <v>0.011416666666666667</v>
      </c>
      <c r="AD275" s="316">
        <f t="shared" si="65"/>
      </c>
      <c r="AE275" s="316">
        <f t="shared" si="66"/>
      </c>
      <c r="AG275" s="316">
        <f t="shared" si="68"/>
      </c>
      <c r="AH275" s="316">
        <f t="shared" si="69"/>
      </c>
      <c r="AI275" s="316">
        <f t="shared" si="70"/>
        <v>0.9839999999999999</v>
      </c>
      <c r="AJ275" s="316">
        <f t="shared" si="71"/>
      </c>
      <c r="AK275" s="316">
        <f t="shared" si="72"/>
      </c>
    </row>
    <row r="276" spans="16:37" ht="15">
      <c r="P276" s="312">
        <f t="shared" si="67"/>
        <v>0.26870340931185893</v>
      </c>
      <c r="Q276" s="247">
        <v>271</v>
      </c>
      <c r="R276" s="299">
        <f t="shared" si="60"/>
        <v>0.011416666666666667</v>
      </c>
      <c r="S276" s="250">
        <f t="shared" si="61"/>
        <v>0.9839999999999999</v>
      </c>
      <c r="AA276" s="316">
        <f t="shared" si="62"/>
      </c>
      <c r="AB276" s="316">
        <f t="shared" si="63"/>
      </c>
      <c r="AC276" s="316">
        <f t="shared" si="64"/>
        <v>0.011416666666666667</v>
      </c>
      <c r="AD276" s="316">
        <f t="shared" si="65"/>
      </c>
      <c r="AE276" s="316">
        <f t="shared" si="66"/>
      </c>
      <c r="AG276" s="316">
        <f t="shared" si="68"/>
      </c>
      <c r="AH276" s="316">
        <f t="shared" si="69"/>
      </c>
      <c r="AI276" s="316">
        <f t="shared" si="70"/>
        <v>0.9839999999999999</v>
      </c>
      <c r="AJ276" s="316">
        <f t="shared" si="71"/>
      </c>
      <c r="AK276" s="316">
        <f t="shared" si="72"/>
      </c>
    </row>
    <row r="277" spans="16:37" ht="15">
      <c r="P277" s="312">
        <f t="shared" si="67"/>
        <v>0.2718209878243695</v>
      </c>
      <c r="Q277" s="247">
        <v>272</v>
      </c>
      <c r="R277" s="299">
        <f t="shared" si="60"/>
        <v>0.011416666666666667</v>
      </c>
      <c r="S277" s="250">
        <f t="shared" si="61"/>
        <v>0.9839999999999999</v>
      </c>
      <c r="AA277" s="316">
        <f t="shared" si="62"/>
      </c>
      <c r="AB277" s="316">
        <f t="shared" si="63"/>
      </c>
      <c r="AC277" s="316">
        <f t="shared" si="64"/>
        <v>0.011416666666666667</v>
      </c>
      <c r="AD277" s="316">
        <f t="shared" si="65"/>
      </c>
      <c r="AE277" s="316">
        <f t="shared" si="66"/>
      </c>
      <c r="AG277" s="316">
        <f t="shared" si="68"/>
      </c>
      <c r="AH277" s="316">
        <f t="shared" si="69"/>
      </c>
      <c r="AI277" s="316">
        <f t="shared" si="70"/>
        <v>0.9839999999999999</v>
      </c>
      <c r="AJ277" s="316">
        <f t="shared" si="71"/>
      </c>
      <c r="AK277" s="316">
        <f t="shared" si="72"/>
      </c>
    </row>
    <row r="278" spans="16:37" ht="15">
      <c r="P278" s="312">
        <f t="shared" si="67"/>
        <v>0.27497473742903905</v>
      </c>
      <c r="Q278" s="247">
        <v>273</v>
      </c>
      <c r="R278" s="299">
        <f t="shared" si="60"/>
        <v>0.011416666666666667</v>
      </c>
      <c r="S278" s="250">
        <f t="shared" si="61"/>
        <v>0.9839999999999999</v>
      </c>
      <c r="AA278" s="316">
        <f t="shared" si="62"/>
      </c>
      <c r="AB278" s="316">
        <f t="shared" si="63"/>
      </c>
      <c r="AC278" s="316">
        <f t="shared" si="64"/>
        <v>0.011416666666666667</v>
      </c>
      <c r="AD278" s="316">
        <f t="shared" si="65"/>
      </c>
      <c r="AE278" s="316">
        <f t="shared" si="66"/>
      </c>
      <c r="AG278" s="316">
        <f t="shared" si="68"/>
      </c>
      <c r="AH278" s="316">
        <f t="shared" si="69"/>
      </c>
      <c r="AI278" s="316">
        <f t="shared" si="70"/>
        <v>0.9839999999999999</v>
      </c>
      <c r="AJ278" s="316">
        <f t="shared" si="71"/>
      </c>
      <c r="AK278" s="316">
        <f t="shared" si="72"/>
      </c>
    </row>
    <row r="279" spans="16:37" ht="15">
      <c r="P279" s="312">
        <f t="shared" si="67"/>
        <v>0.2781650777938577</v>
      </c>
      <c r="Q279" s="247">
        <v>274</v>
      </c>
      <c r="R279" s="299">
        <f t="shared" si="60"/>
        <v>0.011416666666666667</v>
      </c>
      <c r="S279" s="250">
        <f t="shared" si="61"/>
        <v>0.9839999999999999</v>
      </c>
      <c r="AA279" s="316">
        <f t="shared" si="62"/>
      </c>
      <c r="AB279" s="316">
        <f t="shared" si="63"/>
      </c>
      <c r="AC279" s="316">
        <f t="shared" si="64"/>
        <v>0.011416666666666667</v>
      </c>
      <c r="AD279" s="316">
        <f t="shared" si="65"/>
      </c>
      <c r="AE279" s="316">
        <f t="shared" si="66"/>
      </c>
      <c r="AG279" s="316">
        <f t="shared" si="68"/>
      </c>
      <c r="AH279" s="316">
        <f t="shared" si="69"/>
      </c>
      <c r="AI279" s="316">
        <f t="shared" si="70"/>
        <v>0.9839999999999999</v>
      </c>
      <c r="AJ279" s="316">
        <f t="shared" si="71"/>
      </c>
      <c r="AK279" s="316">
        <f t="shared" si="72"/>
      </c>
    </row>
    <row r="280" spans="16:37" ht="15">
      <c r="P280" s="312">
        <f t="shared" si="67"/>
        <v>0.28139243345593073</v>
      </c>
      <c r="Q280" s="247">
        <v>275</v>
      </c>
      <c r="R280" s="299">
        <f t="shared" si="60"/>
        <v>0.011416666666666667</v>
      </c>
      <c r="S280" s="250">
        <f t="shared" si="61"/>
        <v>0.9839999999999999</v>
      </c>
      <c r="AA280" s="316">
        <f t="shared" si="62"/>
      </c>
      <c r="AB280" s="316">
        <f t="shared" si="63"/>
      </c>
      <c r="AC280" s="316">
        <f t="shared" si="64"/>
        <v>0.011416666666666667</v>
      </c>
      <c r="AD280" s="316">
        <f t="shared" si="65"/>
      </c>
      <c r="AE280" s="316">
        <f t="shared" si="66"/>
      </c>
      <c r="AG280" s="316">
        <f t="shared" si="68"/>
      </c>
      <c r="AH280" s="316">
        <f t="shared" si="69"/>
      </c>
      <c r="AI280" s="316">
        <f t="shared" si="70"/>
        <v>0.9839999999999999</v>
      </c>
      <c r="AJ280" s="316">
        <f t="shared" si="71"/>
      </c>
      <c r="AK280" s="316">
        <f t="shared" si="72"/>
      </c>
    </row>
    <row r="281" spans="16:37" ht="15">
      <c r="P281" s="312">
        <f t="shared" si="67"/>
        <v>0.2846572338779719</v>
      </c>
      <c r="Q281" s="247">
        <v>276</v>
      </c>
      <c r="R281" s="299">
        <f t="shared" si="60"/>
        <v>0.011416666666666667</v>
      </c>
      <c r="S281" s="250">
        <f t="shared" si="61"/>
        <v>0.9839999999999999</v>
      </c>
      <c r="AA281" s="316">
        <f t="shared" si="62"/>
      </c>
      <c r="AB281" s="316">
        <f t="shared" si="63"/>
      </c>
      <c r="AC281" s="316">
        <f t="shared" si="64"/>
        <v>0.011416666666666667</v>
      </c>
      <c r="AD281" s="316">
        <f t="shared" si="65"/>
      </c>
      <c r="AE281" s="316">
        <f t="shared" si="66"/>
      </c>
      <c r="AG281" s="316">
        <f t="shared" si="68"/>
      </c>
      <c r="AH281" s="316">
        <f t="shared" si="69"/>
      </c>
      <c r="AI281" s="316">
        <f t="shared" si="70"/>
        <v>0.9839999999999999</v>
      </c>
      <c r="AJ281" s="316">
        <f t="shared" si="71"/>
      </c>
      <c r="AK281" s="316">
        <f t="shared" si="72"/>
      </c>
    </row>
    <row r="282" spans="16:37" ht="15">
      <c r="P282" s="312">
        <f t="shared" si="67"/>
        <v>0.2879599135054518</v>
      </c>
      <c r="Q282" s="247">
        <v>277</v>
      </c>
      <c r="R282" s="299">
        <f t="shared" si="60"/>
        <v>0.011416666666666667</v>
      </c>
      <c r="S282" s="250">
        <f t="shared" si="61"/>
        <v>0.9839999999999999</v>
      </c>
      <c r="AA282" s="316">
        <f t="shared" si="62"/>
      </c>
      <c r="AB282" s="316">
        <f t="shared" si="63"/>
      </c>
      <c r="AC282" s="316">
        <f t="shared" si="64"/>
        <v>0.011416666666666667</v>
      </c>
      <c r="AD282" s="316">
        <f t="shared" si="65"/>
      </c>
      <c r="AE282" s="316">
        <f t="shared" si="66"/>
      </c>
      <c r="AG282" s="316">
        <f t="shared" si="68"/>
      </c>
      <c r="AH282" s="316">
        <f t="shared" si="69"/>
      </c>
      <c r="AI282" s="316">
        <f t="shared" si="70"/>
        <v>0.9839999999999999</v>
      </c>
      <c r="AJ282" s="316">
        <f t="shared" si="71"/>
      </c>
      <c r="AK282" s="316">
        <f t="shared" si="72"/>
      </c>
    </row>
    <row r="283" spans="16:37" ht="15">
      <c r="P283" s="312">
        <f t="shared" si="67"/>
        <v>0.29130091182440904</v>
      </c>
      <c r="Q283" s="247">
        <v>278</v>
      </c>
      <c r="R283" s="299">
        <f t="shared" si="60"/>
        <v>0.011416666666666667</v>
      </c>
      <c r="S283" s="250">
        <f t="shared" si="61"/>
        <v>0.9839999999999999</v>
      </c>
      <c r="AA283" s="316">
        <f t="shared" si="62"/>
      </c>
      <c r="AB283" s="316">
        <f t="shared" si="63"/>
      </c>
      <c r="AC283" s="316">
        <f t="shared" si="64"/>
        <v>0.011416666666666667</v>
      </c>
      <c r="AD283" s="316">
        <f t="shared" si="65"/>
      </c>
      <c r="AE283" s="316">
        <f t="shared" si="66"/>
      </c>
      <c r="AG283" s="316">
        <f t="shared" si="68"/>
      </c>
      <c r="AH283" s="316">
        <f t="shared" si="69"/>
      </c>
      <c r="AI283" s="316">
        <f t="shared" si="70"/>
        <v>0.9839999999999999</v>
      </c>
      <c r="AJ283" s="316">
        <f t="shared" si="71"/>
      </c>
      <c r="AK283" s="316">
        <f t="shared" si="72"/>
      </c>
    </row>
    <row r="284" spans="16:37" ht="15">
      <c r="P284" s="312">
        <f t="shared" si="67"/>
        <v>0.29468067341993276</v>
      </c>
      <c r="Q284" s="247">
        <v>279</v>
      </c>
      <c r="R284" s="299">
        <f t="shared" si="60"/>
        <v>0.011416666666666667</v>
      </c>
      <c r="S284" s="250">
        <f t="shared" si="61"/>
        <v>0.9839999999999999</v>
      </c>
      <c r="AA284" s="316">
        <f t="shared" si="62"/>
      </c>
      <c r="AB284" s="316">
        <f t="shared" si="63"/>
      </c>
      <c r="AC284" s="316">
        <f t="shared" si="64"/>
        <v>0.011416666666666667</v>
      </c>
      <c r="AD284" s="316">
        <f t="shared" si="65"/>
      </c>
      <c r="AE284" s="316">
        <f t="shared" si="66"/>
      </c>
      <c r="AG284" s="316">
        <f t="shared" si="68"/>
      </c>
      <c r="AH284" s="316">
        <f t="shared" si="69"/>
      </c>
      <c r="AI284" s="316">
        <f t="shared" si="70"/>
        <v>0.9839999999999999</v>
      </c>
      <c r="AJ284" s="316">
        <f t="shared" si="71"/>
      </c>
      <c r="AK284" s="316">
        <f t="shared" si="72"/>
      </c>
    </row>
    <row r="285" spans="16:37" ht="15">
      <c r="P285" s="312">
        <f t="shared" si="67"/>
        <v>0.29809964803532324</v>
      </c>
      <c r="Q285" s="247">
        <v>280</v>
      </c>
      <c r="R285" s="299">
        <f t="shared" si="60"/>
        <v>0.011416666666666667</v>
      </c>
      <c r="S285" s="250">
        <f t="shared" si="61"/>
        <v>0.9839999999999999</v>
      </c>
      <c r="AA285" s="316">
        <f t="shared" si="62"/>
      </c>
      <c r="AB285" s="316">
        <f t="shared" si="63"/>
      </c>
      <c r="AC285" s="316">
        <f t="shared" si="64"/>
        <v>0.011416666666666667</v>
      </c>
      <c r="AD285" s="316">
        <f t="shared" si="65"/>
      </c>
      <c r="AE285" s="316">
        <f t="shared" si="66"/>
      </c>
      <c r="AG285" s="316">
        <f t="shared" si="68"/>
      </c>
      <c r="AH285" s="316">
        <f t="shared" si="69"/>
      </c>
      <c r="AI285" s="316">
        <f t="shared" si="70"/>
        <v>0.9839999999999999</v>
      </c>
      <c r="AJ285" s="316">
        <f t="shared" si="71"/>
      </c>
      <c r="AK285" s="316">
        <f t="shared" si="72"/>
      </c>
    </row>
    <row r="286" spans="16:37" ht="15">
      <c r="P286" s="312">
        <f t="shared" si="67"/>
        <v>0.301558290631939</v>
      </c>
      <c r="Q286" s="247">
        <v>281</v>
      </c>
      <c r="R286" s="299">
        <f t="shared" si="60"/>
        <v>0.011416666666666667</v>
      </c>
      <c r="S286" s="250">
        <f t="shared" si="61"/>
        <v>0.9839999999999999</v>
      </c>
      <c r="AA286" s="316">
        <f t="shared" si="62"/>
      </c>
      <c r="AB286" s="316">
        <f t="shared" si="63"/>
      </c>
      <c r="AC286" s="316">
        <f t="shared" si="64"/>
        <v>0.011416666666666667</v>
      </c>
      <c r="AD286" s="316">
        <f t="shared" si="65"/>
      </c>
      <c r="AE286" s="316">
        <f t="shared" si="66"/>
      </c>
      <c r="AG286" s="316">
        <f t="shared" si="68"/>
      </c>
      <c r="AH286" s="316">
        <f t="shared" si="69"/>
      </c>
      <c r="AI286" s="316">
        <f t="shared" si="70"/>
        <v>0.9839999999999999</v>
      </c>
      <c r="AJ286" s="316">
        <f t="shared" si="71"/>
      </c>
      <c r="AK286" s="316">
        <f t="shared" si="72"/>
      </c>
    </row>
    <row r="287" spans="16:37" ht="15">
      <c r="P287" s="312">
        <f t="shared" si="67"/>
        <v>0.30505706144973843</v>
      </c>
      <c r="Q287" s="247">
        <v>282</v>
      </c>
      <c r="R287" s="299">
        <f t="shared" si="60"/>
        <v>0.011416666666666667</v>
      </c>
      <c r="S287" s="250">
        <f t="shared" si="61"/>
        <v>0.9839999999999999</v>
      </c>
      <c r="AA287" s="316">
        <f t="shared" si="62"/>
      </c>
      <c r="AB287" s="316">
        <f t="shared" si="63"/>
      </c>
      <c r="AC287" s="316">
        <f t="shared" si="64"/>
        <v>0.011416666666666667</v>
      </c>
      <c r="AD287" s="316">
        <f t="shared" si="65"/>
      </c>
      <c r="AE287" s="316">
        <f t="shared" si="66"/>
      </c>
      <c r="AG287" s="316">
        <f t="shared" si="68"/>
      </c>
      <c r="AH287" s="316">
        <f t="shared" si="69"/>
      </c>
      <c r="AI287" s="316">
        <f t="shared" si="70"/>
        <v>0.9839999999999999</v>
      </c>
      <c r="AJ287" s="316">
        <f t="shared" si="71"/>
      </c>
      <c r="AK287" s="316">
        <f t="shared" si="72"/>
      </c>
    </row>
    <row r="288" spans="16:37" ht="15">
      <c r="P288" s="312">
        <f t="shared" si="67"/>
        <v>0.3085964260685235</v>
      </c>
      <c r="Q288" s="247">
        <v>283</v>
      </c>
      <c r="R288" s="299">
        <f t="shared" si="60"/>
        <v>0.011416666666666667</v>
      </c>
      <c r="S288" s="250">
        <f t="shared" si="61"/>
        <v>0.9839999999999999</v>
      </c>
      <c r="AA288" s="316">
        <f t="shared" si="62"/>
      </c>
      <c r="AB288" s="316">
        <f t="shared" si="63"/>
      </c>
      <c r="AC288" s="316">
        <f t="shared" si="64"/>
        <v>0.011416666666666667</v>
      </c>
      <c r="AD288" s="316">
        <f t="shared" si="65"/>
      </c>
      <c r="AE288" s="316">
        <f t="shared" si="66"/>
      </c>
      <c r="AG288" s="316">
        <f t="shared" si="68"/>
      </c>
      <c r="AH288" s="316">
        <f t="shared" si="69"/>
      </c>
      <c r="AI288" s="316">
        <f t="shared" si="70"/>
        <v>0.9839999999999999</v>
      </c>
      <c r="AJ288" s="316">
        <f t="shared" si="71"/>
      </c>
      <c r="AK288" s="316">
        <f t="shared" si="72"/>
      </c>
    </row>
    <row r="289" spans="16:37" ht="15">
      <c r="P289" s="312">
        <f t="shared" si="67"/>
        <v>0.31217685546989443</v>
      </c>
      <c r="Q289" s="247">
        <v>284</v>
      </c>
      <c r="R289" s="299">
        <f t="shared" si="60"/>
        <v>0.011416666666666667</v>
      </c>
      <c r="S289" s="250">
        <f t="shared" si="61"/>
        <v>0.9839999999999999</v>
      </c>
      <c r="AA289" s="316">
        <f t="shared" si="62"/>
      </c>
      <c r="AB289" s="316">
        <f t="shared" si="63"/>
      </c>
      <c r="AC289" s="316">
        <f t="shared" si="64"/>
        <v>0.011416666666666667</v>
      </c>
      <c r="AD289" s="316">
        <f t="shared" si="65"/>
      </c>
      <c r="AE289" s="316">
        <f t="shared" si="66"/>
      </c>
      <c r="AG289" s="316">
        <f t="shared" si="68"/>
      </c>
      <c r="AH289" s="316">
        <f t="shared" si="69"/>
      </c>
      <c r="AI289" s="316">
        <f t="shared" si="70"/>
        <v>0.9839999999999999</v>
      </c>
      <c r="AJ289" s="316">
        <f t="shared" si="71"/>
      </c>
      <c r="AK289" s="316">
        <f t="shared" si="72"/>
      </c>
    </row>
    <row r="290" spans="16:37" ht="15">
      <c r="P290" s="312">
        <f t="shared" si="67"/>
        <v>0.3157988260999228</v>
      </c>
      <c r="Q290" s="247">
        <v>285</v>
      </c>
      <c r="R290" s="299">
        <f t="shared" si="60"/>
        <v>0.011416666666666667</v>
      </c>
      <c r="S290" s="250">
        <f t="shared" si="61"/>
        <v>0.9839999999999999</v>
      </c>
      <c r="AA290" s="316">
        <f t="shared" si="62"/>
      </c>
      <c r="AB290" s="316">
        <f t="shared" si="63"/>
      </c>
      <c r="AC290" s="316">
        <f t="shared" si="64"/>
        <v>0.011416666666666667</v>
      </c>
      <c r="AD290" s="316">
        <f t="shared" si="65"/>
      </c>
      <c r="AE290" s="316">
        <f t="shared" si="66"/>
      </c>
      <c r="AG290" s="316">
        <f t="shared" si="68"/>
      </c>
      <c r="AH290" s="316">
        <f t="shared" si="69"/>
      </c>
      <c r="AI290" s="316">
        <f t="shared" si="70"/>
        <v>0.9839999999999999</v>
      </c>
      <c r="AJ290" s="316">
        <f t="shared" si="71"/>
      </c>
      <c r="AK290" s="316">
        <f t="shared" si="72"/>
      </c>
    </row>
    <row r="291" spans="16:37" ht="15">
      <c r="P291" s="312">
        <f t="shared" si="67"/>
        <v>0.3194628199325523</v>
      </c>
      <c r="Q291" s="247">
        <v>286</v>
      </c>
      <c r="R291" s="299">
        <f t="shared" si="60"/>
        <v>0.011416666666666667</v>
      </c>
      <c r="S291" s="250">
        <f t="shared" si="61"/>
        <v>0.9839999999999999</v>
      </c>
      <c r="AA291" s="316">
        <f t="shared" si="62"/>
      </c>
      <c r="AB291" s="316">
        <f t="shared" si="63"/>
      </c>
      <c r="AC291" s="316">
        <f t="shared" si="64"/>
        <v>0.011416666666666667</v>
      </c>
      <c r="AD291" s="316">
        <f t="shared" si="65"/>
      </c>
      <c r="AE291" s="316">
        <f t="shared" si="66"/>
      </c>
      <c r="AG291" s="316">
        <f t="shared" si="68"/>
      </c>
      <c r="AH291" s="316">
        <f t="shared" si="69"/>
      </c>
      <c r="AI291" s="316">
        <f t="shared" si="70"/>
        <v>0.9839999999999999</v>
      </c>
      <c r="AJ291" s="316">
        <f t="shared" si="71"/>
      </c>
      <c r="AK291" s="316">
        <f t="shared" si="72"/>
      </c>
    </row>
    <row r="292" spans="16:37" ht="15">
      <c r="P292" s="312">
        <f t="shared" si="67"/>
        <v>0.32316932453373454</v>
      </c>
      <c r="Q292" s="247">
        <v>287</v>
      </c>
      <c r="R292" s="299">
        <f t="shared" si="60"/>
        <v>0.011416666666666667</v>
      </c>
      <c r="S292" s="250">
        <f t="shared" si="61"/>
        <v>0.9839999999999999</v>
      </c>
      <c r="AA292" s="316">
        <f t="shared" si="62"/>
      </c>
      <c r="AB292" s="316">
        <f t="shared" si="63"/>
      </c>
      <c r="AC292" s="316">
        <f t="shared" si="64"/>
        <v>0.011416666666666667</v>
      </c>
      <c r="AD292" s="316">
        <f t="shared" si="65"/>
      </c>
      <c r="AE292" s="316">
        <f t="shared" si="66"/>
      </c>
      <c r="AG292" s="316">
        <f t="shared" si="68"/>
      </c>
      <c r="AH292" s="316">
        <f t="shared" si="69"/>
      </c>
      <c r="AI292" s="316">
        <f t="shared" si="70"/>
        <v>0.9839999999999999</v>
      </c>
      <c r="AJ292" s="316">
        <f t="shared" si="71"/>
      </c>
      <c r="AK292" s="316">
        <f t="shared" si="72"/>
      </c>
    </row>
    <row r="293" spans="16:37" ht="15">
      <c r="P293" s="312">
        <f t="shared" si="67"/>
        <v>0.3269188331263092</v>
      </c>
      <c r="Q293" s="247">
        <v>288</v>
      </c>
      <c r="R293" s="299">
        <f t="shared" si="60"/>
        <v>0.011416666666666667</v>
      </c>
      <c r="S293" s="250">
        <f t="shared" si="61"/>
        <v>0.9839999999999999</v>
      </c>
      <c r="AA293" s="316">
        <f t="shared" si="62"/>
      </c>
      <c r="AB293" s="316">
        <f t="shared" si="63"/>
      </c>
      <c r="AC293" s="316">
        <f t="shared" si="64"/>
        <v>0.011416666666666667</v>
      </c>
      <c r="AD293" s="316">
        <f t="shared" si="65"/>
      </c>
      <c r="AE293" s="316">
        <f t="shared" si="66"/>
      </c>
      <c r="AG293" s="316">
        <f t="shared" si="68"/>
      </c>
      <c r="AH293" s="316">
        <f t="shared" si="69"/>
      </c>
      <c r="AI293" s="316">
        <f t="shared" si="70"/>
        <v>0.9839999999999999</v>
      </c>
      <c r="AJ293" s="316">
        <f t="shared" si="71"/>
      </c>
      <c r="AK293" s="316">
        <f t="shared" si="72"/>
      </c>
    </row>
    <row r="294" spans="16:37" ht="15">
      <c r="P294" s="312">
        <f t="shared" si="67"/>
        <v>0.33071184465563713</v>
      </c>
      <c r="Q294" s="247">
        <v>289</v>
      </c>
      <c r="R294" s="299">
        <f t="shared" si="60"/>
        <v>0.011416666666666667</v>
      </c>
      <c r="S294" s="250">
        <f t="shared" si="61"/>
        <v>0.9839999999999999</v>
      </c>
      <c r="AA294" s="316">
        <f t="shared" si="62"/>
      </c>
      <c r="AB294" s="316">
        <f t="shared" si="63"/>
      </c>
      <c r="AC294" s="316">
        <f t="shared" si="64"/>
        <v>0.011416666666666667</v>
      </c>
      <c r="AD294" s="316">
        <f t="shared" si="65"/>
      </c>
      <c r="AE294" s="316">
        <f t="shared" si="66"/>
      </c>
      <c r="AG294" s="316">
        <f t="shared" si="68"/>
      </c>
      <c r="AH294" s="316">
        <f t="shared" si="69"/>
      </c>
      <c r="AI294" s="316">
        <f t="shared" si="70"/>
        <v>0.9839999999999999</v>
      </c>
      <c r="AJ294" s="316">
        <f t="shared" si="71"/>
      </c>
      <c r="AK294" s="316">
        <f t="shared" si="72"/>
      </c>
    </row>
    <row r="295" spans="16:37" ht="15">
      <c r="P295" s="312">
        <f t="shared" si="67"/>
        <v>0.3345488638559947</v>
      </c>
      <c r="Q295" s="247">
        <v>290</v>
      </c>
      <c r="R295" s="299">
        <f t="shared" si="60"/>
        <v>0.011416666666666667</v>
      </c>
      <c r="S295" s="250">
        <f t="shared" si="61"/>
        <v>0.9839999999999999</v>
      </c>
      <c r="AA295" s="316">
        <f t="shared" si="62"/>
      </c>
      <c r="AB295" s="316">
        <f t="shared" si="63"/>
      </c>
      <c r="AC295" s="316">
        <f t="shared" si="64"/>
        <v>0.011416666666666667</v>
      </c>
      <c r="AD295" s="316">
        <f t="shared" si="65"/>
      </c>
      <c r="AE295" s="316">
        <f t="shared" si="66"/>
      </c>
      <c r="AG295" s="316">
        <f t="shared" si="68"/>
      </c>
      <c r="AH295" s="316">
        <f t="shared" si="69"/>
      </c>
      <c r="AI295" s="316">
        <f t="shared" si="70"/>
        <v>0.9839999999999999</v>
      </c>
      <c r="AJ295" s="316">
        <f t="shared" si="71"/>
      </c>
      <c r="AK295" s="316">
        <f t="shared" si="72"/>
      </c>
    </row>
    <row r="296" spans="16:37" ht="15">
      <c r="P296" s="312">
        <f t="shared" si="67"/>
        <v>0.33843040131773855</v>
      </c>
      <c r="Q296" s="247">
        <v>291</v>
      </c>
      <c r="R296" s="299">
        <f t="shared" si="60"/>
        <v>0.011416666666666667</v>
      </c>
      <c r="S296" s="250">
        <f t="shared" si="61"/>
        <v>0.9839999999999999</v>
      </c>
      <c r="AA296" s="316">
        <f t="shared" si="62"/>
      </c>
      <c r="AB296" s="316">
        <f t="shared" si="63"/>
      </c>
      <c r="AC296" s="316">
        <f t="shared" si="64"/>
        <v>0.011416666666666667</v>
      </c>
      <c r="AD296" s="316">
        <f t="shared" si="65"/>
      </c>
      <c r="AE296" s="316">
        <f t="shared" si="66"/>
      </c>
      <c r="AG296" s="316">
        <f t="shared" si="68"/>
      </c>
      <c r="AH296" s="316">
        <f t="shared" si="69"/>
      </c>
      <c r="AI296" s="316">
        <f t="shared" si="70"/>
        <v>0.9839999999999999</v>
      </c>
      <c r="AJ296" s="316">
        <f t="shared" si="71"/>
      </c>
      <c r="AK296" s="316">
        <f t="shared" si="72"/>
      </c>
    </row>
    <row r="297" spans="16:37" ht="15">
      <c r="P297" s="312">
        <f t="shared" si="67"/>
        <v>0.3423569735552496</v>
      </c>
      <c r="Q297" s="247">
        <v>292</v>
      </c>
      <c r="R297" s="299">
        <f t="shared" si="60"/>
        <v>0.011416666666666667</v>
      </c>
      <c r="S297" s="250">
        <f t="shared" si="61"/>
        <v>0.9839999999999999</v>
      </c>
      <c r="AA297" s="316">
        <f t="shared" si="62"/>
      </c>
      <c r="AB297" s="316">
        <f t="shared" si="63"/>
      </c>
      <c r="AC297" s="316">
        <f t="shared" si="64"/>
        <v>0.011416666666666667</v>
      </c>
      <c r="AD297" s="316">
        <f t="shared" si="65"/>
      </c>
      <c r="AE297" s="316">
        <f t="shared" si="66"/>
      </c>
      <c r="AG297" s="316">
        <f t="shared" si="68"/>
      </c>
      <c r="AH297" s="316">
        <f t="shared" si="69"/>
      </c>
      <c r="AI297" s="316">
        <f t="shared" si="70"/>
        <v>0.9839999999999999</v>
      </c>
      <c r="AJ297" s="316">
        <f t="shared" si="71"/>
      </c>
      <c r="AK297" s="316">
        <f t="shared" si="72"/>
      </c>
    </row>
    <row r="298" spans="16:37" ht="15">
      <c r="P298" s="312">
        <f t="shared" si="67"/>
        <v>0.34632910307566533</v>
      </c>
      <c r="Q298" s="247">
        <v>293</v>
      </c>
      <c r="R298" s="299">
        <f t="shared" si="60"/>
        <v>0.011416666666666667</v>
      </c>
      <c r="S298" s="250">
        <f t="shared" si="61"/>
        <v>0.9839999999999999</v>
      </c>
      <c r="AA298" s="316">
        <f t="shared" si="62"/>
      </c>
      <c r="AB298" s="316">
        <f t="shared" si="63"/>
      </c>
      <c r="AC298" s="316">
        <f t="shared" si="64"/>
        <v>0.011416666666666667</v>
      </c>
      <c r="AD298" s="316">
        <f t="shared" si="65"/>
      </c>
      <c r="AE298" s="316">
        <f t="shared" si="66"/>
      </c>
      <c r="AG298" s="316">
        <f t="shared" si="68"/>
      </c>
      <c r="AH298" s="316">
        <f t="shared" si="69"/>
      </c>
      <c r="AI298" s="316">
        <f t="shared" si="70"/>
        <v>0.9839999999999999</v>
      </c>
      <c r="AJ298" s="316">
        <f t="shared" si="71"/>
      </c>
      <c r="AK298" s="316">
        <f t="shared" si="72"/>
      </c>
    </row>
    <row r="299" spans="16:37" ht="15">
      <c r="P299" s="312">
        <f t="shared" si="67"/>
        <v>0.3503473184484098</v>
      </c>
      <c r="Q299" s="247">
        <v>294</v>
      </c>
      <c r="R299" s="299">
        <f t="shared" si="60"/>
        <v>0.011416666666666667</v>
      </c>
      <c r="S299" s="250">
        <f t="shared" si="61"/>
        <v>0.9839999999999999</v>
      </c>
      <c r="AA299" s="316">
        <f t="shared" si="62"/>
      </c>
      <c r="AB299" s="316">
        <f t="shared" si="63"/>
      </c>
      <c r="AC299" s="316">
        <f t="shared" si="64"/>
        <v>0.011416666666666667</v>
      </c>
      <c r="AD299" s="316">
        <f t="shared" si="65"/>
      </c>
      <c r="AE299" s="316">
        <f t="shared" si="66"/>
      </c>
      <c r="AG299" s="316">
        <f t="shared" si="68"/>
      </c>
      <c r="AH299" s="316">
        <f t="shared" si="69"/>
      </c>
      <c r="AI299" s="316">
        <f t="shared" si="70"/>
        <v>0.9839999999999999</v>
      </c>
      <c r="AJ299" s="316">
        <f t="shared" si="71"/>
      </c>
      <c r="AK299" s="316">
        <f t="shared" si="72"/>
      </c>
    </row>
    <row r="300" spans="16:37" ht="15">
      <c r="P300" s="312">
        <f t="shared" si="67"/>
        <v>0.3544121543755297</v>
      </c>
      <c r="Q300" s="247">
        <v>295</v>
      </c>
      <c r="R300" s="299">
        <f t="shared" si="60"/>
        <v>0.011416666666666667</v>
      </c>
      <c r="S300" s="250">
        <f t="shared" si="61"/>
        <v>0.9839999999999999</v>
      </c>
      <c r="AA300" s="316">
        <f t="shared" si="62"/>
      </c>
      <c r="AB300" s="316">
        <f t="shared" si="63"/>
      </c>
      <c r="AC300" s="316">
        <f t="shared" si="64"/>
        <v>0.011416666666666667</v>
      </c>
      <c r="AD300" s="316">
        <f t="shared" si="65"/>
      </c>
      <c r="AE300" s="316">
        <f t="shared" si="66"/>
      </c>
      <c r="AG300" s="316">
        <f t="shared" si="68"/>
      </c>
      <c r="AH300" s="316">
        <f t="shared" si="69"/>
      </c>
      <c r="AI300" s="316">
        <f t="shared" si="70"/>
        <v>0.9839999999999999</v>
      </c>
      <c r="AJ300" s="316">
        <f t="shared" si="71"/>
      </c>
      <c r="AK300" s="316">
        <f t="shared" si="72"/>
      </c>
    </row>
    <row r="301" spans="16:37" ht="15">
      <c r="P301" s="312">
        <f t="shared" si="67"/>
        <v>0.3585241517628474</v>
      </c>
      <c r="Q301" s="247">
        <v>296</v>
      </c>
      <c r="R301" s="299">
        <f t="shared" si="60"/>
        <v>0.011416666666666667</v>
      </c>
      <c r="S301" s="250">
        <f t="shared" si="61"/>
        <v>0.9839999999999999</v>
      </c>
      <c r="AA301" s="316">
        <f t="shared" si="62"/>
      </c>
      <c r="AB301" s="316">
        <f t="shared" si="63"/>
      </c>
      <c r="AC301" s="316">
        <f t="shared" si="64"/>
        <v>0.011416666666666667</v>
      </c>
      <c r="AD301" s="316">
        <f t="shared" si="65"/>
      </c>
      <c r="AE301" s="316">
        <f t="shared" si="66"/>
      </c>
      <c r="AG301" s="316">
        <f t="shared" si="68"/>
      </c>
      <c r="AH301" s="316">
        <f t="shared" si="69"/>
      </c>
      <c r="AI301" s="316">
        <f t="shared" si="70"/>
        <v>0.9839999999999999</v>
      </c>
      <c r="AJ301" s="316">
        <f t="shared" si="71"/>
      </c>
      <c r="AK301" s="316">
        <f t="shared" si="72"/>
      </c>
    </row>
    <row r="302" spans="16:37" ht="15">
      <c r="P302" s="312">
        <f t="shared" si="67"/>
        <v>0.36268385779193874</v>
      </c>
      <c r="Q302" s="247">
        <v>297</v>
      </c>
      <c r="R302" s="299">
        <f t="shared" si="60"/>
        <v>0.011416666666666667</v>
      </c>
      <c r="S302" s="250">
        <f t="shared" si="61"/>
        <v>0.9839999999999999</v>
      </c>
      <c r="AA302" s="316">
        <f t="shared" si="62"/>
      </c>
      <c r="AB302" s="316">
        <f t="shared" si="63"/>
      </c>
      <c r="AC302" s="316">
        <f t="shared" si="64"/>
        <v>0.011416666666666667</v>
      </c>
      <c r="AD302" s="316">
        <f t="shared" si="65"/>
      </c>
      <c r="AE302" s="316">
        <f t="shared" si="66"/>
      </c>
      <c r="AG302" s="316">
        <f t="shared" si="68"/>
      </c>
      <c r="AH302" s="316">
        <f t="shared" si="69"/>
      </c>
      <c r="AI302" s="316">
        <f t="shared" si="70"/>
        <v>0.9839999999999999</v>
      </c>
      <c r="AJ302" s="316">
        <f t="shared" si="71"/>
      </c>
      <c r="AK302" s="316">
        <f t="shared" si="72"/>
      </c>
    </row>
    <row r="303" spans="16:37" ht="15">
      <c r="P303" s="312">
        <f t="shared" si="67"/>
        <v>0.3668918259929462</v>
      </c>
      <c r="Q303" s="247">
        <v>298</v>
      </c>
      <c r="R303" s="299">
        <f t="shared" si="60"/>
        <v>0.011416666666666667</v>
      </c>
      <c r="S303" s="250">
        <f t="shared" si="61"/>
        <v>0.9839999999999999</v>
      </c>
      <c r="AA303" s="316">
        <f t="shared" si="62"/>
      </c>
      <c r="AB303" s="316">
        <f t="shared" si="63"/>
      </c>
      <c r="AC303" s="316">
        <f t="shared" si="64"/>
        <v>0.011416666666666667</v>
      </c>
      <c r="AD303" s="316">
        <f t="shared" si="65"/>
      </c>
      <c r="AE303" s="316">
        <f t="shared" si="66"/>
      </c>
      <c r="AG303" s="316">
        <f t="shared" si="68"/>
      </c>
      <c r="AH303" s="316">
        <f t="shared" si="69"/>
      </c>
      <c r="AI303" s="316">
        <f t="shared" si="70"/>
        <v>0.9839999999999999</v>
      </c>
      <c r="AJ303" s="316">
        <f t="shared" si="71"/>
      </c>
      <c r="AK303" s="316">
        <f t="shared" si="72"/>
      </c>
    </row>
    <row r="304" spans="16:37" ht="15">
      <c r="P304" s="312">
        <f t="shared" si="67"/>
        <v>0.371148616318237</v>
      </c>
      <c r="Q304" s="247">
        <v>299</v>
      </c>
      <c r="R304" s="299">
        <f t="shared" si="60"/>
        <v>0.011416666666666667</v>
      </c>
      <c r="S304" s="250">
        <f t="shared" si="61"/>
        <v>0.9839999999999999</v>
      </c>
      <c r="AA304" s="316">
        <f t="shared" si="62"/>
      </c>
      <c r="AB304" s="316">
        <f t="shared" si="63"/>
      </c>
      <c r="AC304" s="316">
        <f t="shared" si="64"/>
        <v>0.011416666666666667</v>
      </c>
      <c r="AD304" s="316">
        <f t="shared" si="65"/>
      </c>
      <c r="AE304" s="316">
        <f t="shared" si="66"/>
      </c>
      <c r="AG304" s="316">
        <f t="shared" si="68"/>
      </c>
      <c r="AH304" s="316">
        <f t="shared" si="69"/>
      </c>
      <c r="AI304" s="316">
        <f t="shared" si="70"/>
        <v>0.9839999999999999</v>
      </c>
      <c r="AJ304" s="316">
        <f t="shared" si="71"/>
      </c>
      <c r="AK304" s="316">
        <f t="shared" si="72"/>
      </c>
    </row>
    <row r="305" spans="16:37" ht="15">
      <c r="P305" s="312">
        <f t="shared" si="67"/>
        <v>0.3754547952169157</v>
      </c>
      <c r="Q305" s="247">
        <v>300</v>
      </c>
      <c r="R305" s="299">
        <f t="shared" si="60"/>
        <v>0.011416666666666667</v>
      </c>
      <c r="S305" s="250">
        <f t="shared" si="61"/>
        <v>0.9839999999999999</v>
      </c>
      <c r="AA305" s="316">
        <f t="shared" si="62"/>
      </c>
      <c r="AB305" s="316">
        <f t="shared" si="63"/>
      </c>
      <c r="AC305" s="316">
        <f t="shared" si="64"/>
        <v>0.011416666666666667</v>
      </c>
      <c r="AD305" s="316">
        <f t="shared" si="65"/>
      </c>
      <c r="AE305" s="316">
        <f t="shared" si="66"/>
      </c>
      <c r="AG305" s="316">
        <f t="shared" si="68"/>
      </c>
      <c r="AH305" s="316">
        <f t="shared" si="69"/>
      </c>
      <c r="AI305" s="316">
        <f t="shared" si="70"/>
        <v>0.9839999999999999</v>
      </c>
      <c r="AJ305" s="316">
        <f t="shared" si="71"/>
      </c>
      <c r="AK305" s="316">
        <f t="shared" si="72"/>
      </c>
    </row>
    <row r="306" spans="16:37" ht="15">
      <c r="P306" s="312">
        <f t="shared" si="67"/>
        <v>0.3798109357102014</v>
      </c>
      <c r="Q306" s="247">
        <v>301</v>
      </c>
      <c r="R306" s="299">
        <f t="shared" si="60"/>
        <v>0.011416666666666667</v>
      </c>
      <c r="S306" s="250">
        <f t="shared" si="61"/>
        <v>0.9839999999999999</v>
      </c>
      <c r="AA306" s="316">
        <f t="shared" si="62"/>
      </c>
      <c r="AB306" s="316">
        <f t="shared" si="63"/>
      </c>
      <c r="AC306" s="316">
        <f t="shared" si="64"/>
        <v>0.011416666666666667</v>
      </c>
      <c r="AD306" s="316">
        <f t="shared" si="65"/>
      </c>
      <c r="AE306" s="316">
        <f t="shared" si="66"/>
      </c>
      <c r="AG306" s="316">
        <f t="shared" si="68"/>
      </c>
      <c r="AH306" s="316">
        <f t="shared" si="69"/>
      </c>
      <c r="AI306" s="316">
        <f t="shared" si="70"/>
        <v>0.9839999999999999</v>
      </c>
      <c r="AJ306" s="316">
        <f t="shared" si="71"/>
      </c>
      <c r="AK306" s="316">
        <f t="shared" si="72"/>
      </c>
    </row>
    <row r="307" spans="16:37" ht="15">
      <c r="P307" s="312">
        <f t="shared" si="67"/>
        <v>0.3842176174676792</v>
      </c>
      <c r="Q307" s="247">
        <v>302</v>
      </c>
      <c r="R307" s="299">
        <f t="shared" si="60"/>
        <v>0.011416666666666667</v>
      </c>
      <c r="S307" s="250">
        <f t="shared" si="61"/>
        <v>0.9839999999999999</v>
      </c>
      <c r="AA307" s="316">
        <f t="shared" si="62"/>
      </c>
      <c r="AB307" s="316">
        <f t="shared" si="63"/>
      </c>
      <c r="AC307" s="316">
        <f t="shared" si="64"/>
        <v>0.011416666666666667</v>
      </c>
      <c r="AD307" s="316">
        <f t="shared" si="65"/>
      </c>
      <c r="AE307" s="316">
        <f t="shared" si="66"/>
      </c>
      <c r="AG307" s="316">
        <f t="shared" si="68"/>
      </c>
      <c r="AH307" s="316">
        <f t="shared" si="69"/>
      </c>
      <c r="AI307" s="316">
        <f t="shared" si="70"/>
        <v>0.9839999999999999</v>
      </c>
      <c r="AJ307" s="316">
        <f t="shared" si="71"/>
      </c>
      <c r="AK307" s="316">
        <f t="shared" si="72"/>
      </c>
    </row>
    <row r="308" spans="16:37" ht="15">
      <c r="P308" s="312">
        <f t="shared" si="67"/>
        <v>0.3886754268844366</v>
      </c>
      <c r="Q308" s="247">
        <v>303</v>
      </c>
      <c r="R308" s="299">
        <f t="shared" si="60"/>
        <v>0.011416666666666667</v>
      </c>
      <c r="S308" s="250">
        <f t="shared" si="61"/>
        <v>0.9839999999999999</v>
      </c>
      <c r="AA308" s="316">
        <f t="shared" si="62"/>
      </c>
      <c r="AB308" s="316">
        <f t="shared" si="63"/>
      </c>
      <c r="AC308" s="316">
        <f t="shared" si="64"/>
        <v>0.011416666666666667</v>
      </c>
      <c r="AD308" s="316">
        <f t="shared" si="65"/>
      </c>
      <c r="AE308" s="316">
        <f t="shared" si="66"/>
      </c>
      <c r="AG308" s="316">
        <f t="shared" si="68"/>
      </c>
      <c r="AH308" s="316">
        <f t="shared" si="69"/>
      </c>
      <c r="AI308" s="316">
        <f t="shared" si="70"/>
        <v>0.9839999999999999</v>
      </c>
      <c r="AJ308" s="316">
        <f t="shared" si="71"/>
      </c>
      <c r="AK308" s="316">
        <f t="shared" si="72"/>
      </c>
    </row>
    <row r="309" spans="16:37" ht="15">
      <c r="P309" s="312">
        <f t="shared" si="67"/>
        <v>0.3931849571590951</v>
      </c>
      <c r="Q309" s="247">
        <v>304</v>
      </c>
      <c r="R309" s="299">
        <f t="shared" si="60"/>
        <v>0.011416666666666667</v>
      </c>
      <c r="S309" s="250">
        <f t="shared" si="61"/>
        <v>0.9839999999999999</v>
      </c>
      <c r="AA309" s="316">
        <f t="shared" si="62"/>
      </c>
      <c r="AB309" s="316">
        <f t="shared" si="63"/>
      </c>
      <c r="AC309" s="316">
        <f t="shared" si="64"/>
        <v>0.011416666666666667</v>
      </c>
      <c r="AD309" s="316">
        <f t="shared" si="65"/>
      </c>
      <c r="AE309" s="316">
        <f t="shared" si="66"/>
      </c>
      <c r="AG309" s="316">
        <f t="shared" si="68"/>
      </c>
      <c r="AH309" s="316">
        <f t="shared" si="69"/>
      </c>
      <c r="AI309" s="316">
        <f t="shared" si="70"/>
        <v>0.9839999999999999</v>
      </c>
      <c r="AJ309" s="316">
        <f t="shared" si="71"/>
      </c>
      <c r="AK309" s="316">
        <f t="shared" si="72"/>
      </c>
    </row>
    <row r="310" spans="16:37" ht="15">
      <c r="P310" s="312">
        <f t="shared" si="67"/>
        <v>0.39774680837274656</v>
      </c>
      <c r="Q310" s="247">
        <v>305</v>
      </c>
      <c r="R310" s="299">
        <f t="shared" si="60"/>
        <v>0.011416666666666667</v>
      </c>
      <c r="S310" s="250">
        <f t="shared" si="61"/>
        <v>0.9839999999999999</v>
      </c>
      <c r="AA310" s="316">
        <f t="shared" si="62"/>
      </c>
      <c r="AB310" s="316">
        <f t="shared" si="63"/>
      </c>
      <c r="AC310" s="316">
        <f t="shared" si="64"/>
        <v>0.011416666666666667</v>
      </c>
      <c r="AD310" s="316">
        <f t="shared" si="65"/>
      </c>
      <c r="AE310" s="316">
        <f t="shared" si="66"/>
      </c>
      <c r="AG310" s="316">
        <f t="shared" si="68"/>
      </c>
      <c r="AH310" s="316">
        <f t="shared" si="69"/>
      </c>
      <c r="AI310" s="316">
        <f t="shared" si="70"/>
        <v>0.9839999999999999</v>
      </c>
      <c r="AJ310" s="316">
        <f t="shared" si="71"/>
      </c>
      <c r="AK310" s="316">
        <f t="shared" si="72"/>
      </c>
    </row>
    <row r="311" spans="16:37" ht="15">
      <c r="P311" s="312">
        <f t="shared" si="67"/>
        <v>0.4023615875688057</v>
      </c>
      <c r="Q311" s="247">
        <v>306</v>
      </c>
      <c r="R311" s="299">
        <f t="shared" si="60"/>
        <v>0.011416666666666667</v>
      </c>
      <c r="S311" s="250">
        <f t="shared" si="61"/>
        <v>0.9839999999999999</v>
      </c>
      <c r="AA311" s="316">
        <f t="shared" si="62"/>
      </c>
      <c r="AB311" s="316">
        <f t="shared" si="63"/>
      </c>
      <c r="AC311" s="316">
        <f t="shared" si="64"/>
        <v>0.011416666666666667</v>
      </c>
      <c r="AD311" s="316">
        <f t="shared" si="65"/>
      </c>
      <c r="AE311" s="316">
        <f t="shared" si="66"/>
      </c>
      <c r="AG311" s="316">
        <f t="shared" si="68"/>
      </c>
      <c r="AH311" s="316">
        <f t="shared" si="69"/>
      </c>
      <c r="AI311" s="316">
        <f t="shared" si="70"/>
        <v>0.9839999999999999</v>
      </c>
      <c r="AJ311" s="316">
        <f t="shared" si="71"/>
      </c>
      <c r="AK311" s="316">
        <f t="shared" si="72"/>
      </c>
    </row>
    <row r="312" spans="16:37" ht="15">
      <c r="P312" s="312">
        <f t="shared" si="67"/>
        <v>0.4070299088337893</v>
      </c>
      <c r="Q312" s="247">
        <v>307</v>
      </c>
      <c r="R312" s="299">
        <f t="shared" si="60"/>
        <v>0.011416666666666667</v>
      </c>
      <c r="S312" s="250">
        <f t="shared" si="61"/>
        <v>0.9839999999999999</v>
      </c>
      <c r="AA312" s="316">
        <f t="shared" si="62"/>
      </c>
      <c r="AB312" s="316">
        <f t="shared" si="63"/>
      </c>
      <c r="AC312" s="316">
        <f t="shared" si="64"/>
        <v>0.011416666666666667</v>
      </c>
      <c r="AD312" s="316">
        <f t="shared" si="65"/>
      </c>
      <c r="AE312" s="316">
        <f t="shared" si="66"/>
      </c>
      <c r="AG312" s="316">
        <f t="shared" si="68"/>
      </c>
      <c r="AH312" s="316">
        <f t="shared" si="69"/>
      </c>
      <c r="AI312" s="316">
        <f t="shared" si="70"/>
        <v>0.9839999999999999</v>
      </c>
      <c r="AJ312" s="316">
        <f t="shared" si="71"/>
      </c>
      <c r="AK312" s="316">
        <f t="shared" si="72"/>
      </c>
    </row>
    <row r="313" spans="16:37" ht="15">
      <c r="P313" s="312">
        <f t="shared" si="67"/>
        <v>0.4117523933790323</v>
      </c>
      <c r="Q313" s="247">
        <v>308</v>
      </c>
      <c r="R313" s="299">
        <f t="shared" si="60"/>
        <v>0.011416666666666667</v>
      </c>
      <c r="S313" s="250">
        <f t="shared" si="61"/>
        <v>0.9839999999999999</v>
      </c>
      <c r="AA313" s="316">
        <f t="shared" si="62"/>
      </c>
      <c r="AB313" s="316">
        <f t="shared" si="63"/>
      </c>
      <c r="AC313" s="316">
        <f t="shared" si="64"/>
        <v>0.011416666666666667</v>
      </c>
      <c r="AD313" s="316">
        <f t="shared" si="65"/>
      </c>
      <c r="AE313" s="316">
        <f t="shared" si="66"/>
      </c>
      <c r="AG313" s="316">
        <f t="shared" si="68"/>
      </c>
      <c r="AH313" s="316">
        <f t="shared" si="69"/>
      </c>
      <c r="AI313" s="316">
        <f t="shared" si="70"/>
        <v>0.9839999999999999</v>
      </c>
      <c r="AJ313" s="316">
        <f t="shared" si="71"/>
      </c>
      <c r="AK313" s="316">
        <f t="shared" si="72"/>
      </c>
    </row>
    <row r="314" spans="16:37" ht="15">
      <c r="P314" s="312">
        <f t="shared" si="67"/>
        <v>0.41652966962335203</v>
      </c>
      <c r="Q314" s="247">
        <v>309</v>
      </c>
      <c r="R314" s="299">
        <f t="shared" si="60"/>
        <v>0.011416666666666667</v>
      </c>
      <c r="S314" s="250">
        <f t="shared" si="61"/>
        <v>0.9839999999999999</v>
      </c>
      <c r="AA314" s="316">
        <f t="shared" si="62"/>
      </c>
      <c r="AB314" s="316">
        <f t="shared" si="63"/>
      </c>
      <c r="AC314" s="316">
        <f t="shared" si="64"/>
        <v>0.011416666666666667</v>
      </c>
      <c r="AD314" s="316">
        <f t="shared" si="65"/>
      </c>
      <c r="AE314" s="316">
        <f t="shared" si="66"/>
      </c>
      <c r="AG314" s="316">
        <f t="shared" si="68"/>
      </c>
      <c r="AH314" s="316">
        <f t="shared" si="69"/>
      </c>
      <c r="AI314" s="316">
        <f t="shared" si="70"/>
        <v>0.9839999999999999</v>
      </c>
      <c r="AJ314" s="316">
        <f t="shared" si="71"/>
      </c>
      <c r="AK314" s="316">
        <f t="shared" si="72"/>
      </c>
    </row>
    <row r="315" spans="16:37" ht="15">
      <c r="P315" s="312">
        <f t="shared" si="67"/>
        <v>0.42136237327667175</v>
      </c>
      <c r="Q315" s="247">
        <v>310</v>
      </c>
      <c r="R315" s="299">
        <f aca="true" t="shared" si="73" ref="R315:R329">0.0137/1.2</f>
        <v>0.011416666666666667</v>
      </c>
      <c r="S315" s="250">
        <f t="shared" si="61"/>
        <v>0.9839999999999999</v>
      </c>
      <c r="AA315" s="316">
        <f t="shared" si="62"/>
      </c>
      <c r="AB315" s="316">
        <f t="shared" si="63"/>
      </c>
      <c r="AC315" s="316">
        <f t="shared" si="64"/>
        <v>0.011416666666666667</v>
      </c>
      <c r="AD315" s="316">
        <f t="shared" si="65"/>
      </c>
      <c r="AE315" s="316">
        <f t="shared" si="66"/>
      </c>
      <c r="AG315" s="316">
        <f t="shared" si="68"/>
      </c>
      <c r="AH315" s="316">
        <f t="shared" si="69"/>
      </c>
      <c r="AI315" s="316">
        <f t="shared" si="70"/>
        <v>0.9839999999999999</v>
      </c>
      <c r="AJ315" s="316">
        <f t="shared" si="71"/>
      </c>
      <c r="AK315" s="316">
        <f t="shared" si="72"/>
      </c>
    </row>
    <row r="316" spans="16:37" ht="15">
      <c r="P316" s="312">
        <f t="shared" si="67"/>
        <v>0.4262511474246142</v>
      </c>
      <c r="Q316" s="247">
        <v>311</v>
      </c>
      <c r="R316" s="299">
        <f t="shared" si="73"/>
        <v>0.011416666666666667</v>
      </c>
      <c r="S316" s="250">
        <f aca="true" t="shared" si="74" ref="S316:S328">0.82*1.2</f>
        <v>0.9839999999999999</v>
      </c>
      <c r="AA316" s="316">
        <f t="shared" si="62"/>
      </c>
      <c r="AB316" s="316">
        <f t="shared" si="63"/>
      </c>
      <c r="AC316" s="316">
        <f t="shared" si="64"/>
        <v>0.011416666666666667</v>
      </c>
      <c r="AD316" s="316">
        <f t="shared" si="65"/>
      </c>
      <c r="AE316" s="316">
        <f t="shared" si="66"/>
      </c>
      <c r="AG316" s="316">
        <f t="shared" si="68"/>
      </c>
      <c r="AH316" s="316">
        <f t="shared" si="69"/>
      </c>
      <c r="AI316" s="316">
        <f t="shared" si="70"/>
        <v>0.9839999999999999</v>
      </c>
      <c r="AJ316" s="316">
        <f t="shared" si="71"/>
      </c>
      <c r="AK316" s="316">
        <f t="shared" si="72"/>
      </c>
    </row>
    <row r="317" spans="16:37" ht="15">
      <c r="P317" s="312">
        <f t="shared" si="67"/>
        <v>0.4311966426140766</v>
      </c>
      <c r="Q317" s="247">
        <v>312</v>
      </c>
      <c r="R317" s="299">
        <f t="shared" si="73"/>
        <v>0.011416666666666667</v>
      </c>
      <c r="S317" s="250">
        <f t="shared" si="74"/>
        <v>0.9839999999999999</v>
      </c>
      <c r="AA317" s="316">
        <f t="shared" si="62"/>
      </c>
      <c r="AB317" s="316">
        <f t="shared" si="63"/>
      </c>
      <c r="AC317" s="316">
        <f t="shared" si="64"/>
        <v>0.011416666666666667</v>
      </c>
      <c r="AD317" s="316">
        <f t="shared" si="65"/>
      </c>
      <c r="AE317" s="316">
        <f t="shared" si="66"/>
      </c>
      <c r="AG317" s="316">
        <f t="shared" si="68"/>
      </c>
      <c r="AH317" s="316">
        <f t="shared" si="69"/>
      </c>
      <c r="AI317" s="316">
        <f t="shared" si="70"/>
        <v>0.9839999999999999</v>
      </c>
      <c r="AJ317" s="316">
        <f t="shared" si="71"/>
      </c>
      <c r="AK317" s="316">
        <f t="shared" si="72"/>
      </c>
    </row>
    <row r="318" spans="16:37" ht="15">
      <c r="P318" s="312">
        <f t="shared" si="67"/>
        <v>0.43619951693979886</v>
      </c>
      <c r="Q318" s="249">
        <v>313</v>
      </c>
      <c r="R318" s="299">
        <f t="shared" si="73"/>
        <v>0.011416666666666667</v>
      </c>
      <c r="S318" s="250">
        <f t="shared" si="74"/>
        <v>0.9839999999999999</v>
      </c>
      <c r="AA318" s="316">
        <f t="shared" si="62"/>
      </c>
      <c r="AB318" s="316">
        <f t="shared" si="63"/>
      </c>
      <c r="AC318" s="316">
        <f t="shared" si="64"/>
        <v>0.011416666666666667</v>
      </c>
      <c r="AD318" s="316">
        <f t="shared" si="65"/>
      </c>
      <c r="AE318" s="316">
        <f t="shared" si="66"/>
      </c>
      <c r="AG318" s="316">
        <f t="shared" si="68"/>
      </c>
      <c r="AH318" s="316">
        <f t="shared" si="69"/>
      </c>
      <c r="AI318" s="316">
        <f t="shared" si="70"/>
        <v>0.9839999999999999</v>
      </c>
      <c r="AJ318" s="316">
        <f t="shared" si="71"/>
      </c>
      <c r="AK318" s="316">
        <f t="shared" si="72"/>
      </c>
    </row>
    <row r="319" spans="16:37" ht="15">
      <c r="P319" s="312">
        <f t="shared" si="67"/>
        <v>0.4412604361319358</v>
      </c>
      <c r="Q319" s="247">
        <v>314</v>
      </c>
      <c r="R319" s="299">
        <f t="shared" si="73"/>
        <v>0.011416666666666667</v>
      </c>
      <c r="S319" s="250">
        <f t="shared" si="74"/>
        <v>0.9839999999999999</v>
      </c>
      <c r="AA319" s="316">
        <f t="shared" si="62"/>
      </c>
      <c r="AB319" s="316">
        <f t="shared" si="63"/>
      </c>
      <c r="AC319" s="316">
        <f t="shared" si="64"/>
        <v>0.011416666666666667</v>
      </c>
      <c r="AD319" s="316">
        <f t="shared" si="65"/>
      </c>
      <c r="AE319" s="316">
        <f t="shared" si="66"/>
      </c>
      <c r="AG319" s="316">
        <f t="shared" si="68"/>
      </c>
      <c r="AH319" s="316">
        <f t="shared" si="69"/>
      </c>
      <c r="AI319" s="316">
        <f t="shared" si="70"/>
        <v>0.9839999999999999</v>
      </c>
      <c r="AJ319" s="316">
        <f t="shared" si="71"/>
      </c>
      <c r="AK319" s="316">
        <f t="shared" si="72"/>
      </c>
    </row>
    <row r="320" spans="16:37" ht="15">
      <c r="P320" s="312">
        <f t="shared" si="67"/>
        <v>0.4463800736446454</v>
      </c>
      <c r="Q320" s="247">
        <v>315</v>
      </c>
      <c r="R320" s="299">
        <f t="shared" si="73"/>
        <v>0.011416666666666667</v>
      </c>
      <c r="S320" s="250">
        <f t="shared" si="74"/>
        <v>0.9839999999999999</v>
      </c>
      <c r="AA320" s="316">
        <f t="shared" si="62"/>
      </c>
      <c r="AB320" s="316">
        <f t="shared" si="63"/>
      </c>
      <c r="AC320" s="316">
        <f t="shared" si="64"/>
        <v>0.011416666666666667</v>
      </c>
      <c r="AD320" s="316">
        <f t="shared" si="65"/>
      </c>
      <c r="AE320" s="316">
        <f t="shared" si="66"/>
      </c>
      <c r="AG320" s="316">
        <f t="shared" si="68"/>
      </c>
      <c r="AH320" s="316">
        <f t="shared" si="69"/>
      </c>
      <c r="AI320" s="316">
        <f t="shared" si="70"/>
        <v>0.9839999999999999</v>
      </c>
      <c r="AJ320" s="316">
        <f t="shared" si="71"/>
      </c>
      <c r="AK320" s="316">
        <f t="shared" si="72"/>
      </c>
    </row>
    <row r="321" spans="16:37" ht="15">
      <c r="P321" s="312">
        <f t="shared" si="67"/>
        <v>0.45155911074570537</v>
      </c>
      <c r="Q321" s="247">
        <v>316</v>
      </c>
      <c r="R321" s="299">
        <f t="shared" si="73"/>
        <v>0.011416666666666667</v>
      </c>
      <c r="S321" s="250">
        <f t="shared" si="74"/>
        <v>0.9839999999999999</v>
      </c>
      <c r="AA321" s="316">
        <f t="shared" si="62"/>
      </c>
      <c r="AB321" s="316">
        <f t="shared" si="63"/>
      </c>
      <c r="AC321" s="316">
        <f t="shared" si="64"/>
        <v>0.011416666666666667</v>
      </c>
      <c r="AD321" s="316">
        <f t="shared" si="65"/>
      </c>
      <c r="AE321" s="316">
        <f t="shared" si="66"/>
      </c>
      <c r="AG321" s="316">
        <f t="shared" si="68"/>
      </c>
      <c r="AH321" s="316">
        <f t="shared" si="69"/>
      </c>
      <c r="AI321" s="316">
        <f t="shared" si="70"/>
        <v>0.9839999999999999</v>
      </c>
      <c r="AJ321" s="316">
        <f t="shared" si="71"/>
      </c>
      <c r="AK321" s="316">
        <f t="shared" si="72"/>
      </c>
    </row>
    <row r="322" spans="16:37" ht="15">
      <c r="P322" s="312">
        <f t="shared" si="67"/>
        <v>0.45679823660716895</v>
      </c>
      <c r="Q322" s="247">
        <v>317</v>
      </c>
      <c r="R322" s="299">
        <f t="shared" si="73"/>
        <v>0.011416666666666667</v>
      </c>
      <c r="S322" s="250">
        <f t="shared" si="74"/>
        <v>0.9839999999999999</v>
      </c>
      <c r="AA322" s="316">
        <f t="shared" si="62"/>
      </c>
      <c r="AB322" s="316">
        <f t="shared" si="63"/>
      </c>
      <c r="AC322" s="316">
        <f t="shared" si="64"/>
        <v>0.011416666666666667</v>
      </c>
      <c r="AD322" s="316">
        <f t="shared" si="65"/>
      </c>
      <c r="AE322" s="316">
        <f t="shared" si="66"/>
      </c>
      <c r="AG322" s="316">
        <f t="shared" si="68"/>
      </c>
      <c r="AH322" s="316">
        <f t="shared" si="69"/>
      </c>
      <c r="AI322" s="316">
        <f t="shared" si="70"/>
        <v>0.9839999999999999</v>
      </c>
      <c r="AJ322" s="316">
        <f t="shared" si="71"/>
      </c>
      <c r="AK322" s="316">
        <f t="shared" si="72"/>
      </c>
    </row>
    <row r="323" spans="16:37" ht="15">
      <c r="P323" s="312">
        <f t="shared" si="67"/>
        <v>0.4620981483970726</v>
      </c>
      <c r="Q323" s="247">
        <v>318</v>
      </c>
      <c r="R323" s="299">
        <f t="shared" si="73"/>
        <v>0.011416666666666667</v>
      </c>
      <c r="S323" s="250">
        <f t="shared" si="74"/>
        <v>0.9839999999999999</v>
      </c>
      <c r="AA323" s="316">
        <f t="shared" si="62"/>
      </c>
      <c r="AB323" s="316">
        <f t="shared" si="63"/>
      </c>
      <c r="AC323" s="316">
        <f t="shared" si="64"/>
        <v>0.011416666666666667</v>
      </c>
      <c r="AD323" s="316">
        <f t="shared" si="65"/>
      </c>
      <c r="AE323" s="316">
        <f t="shared" si="66"/>
      </c>
      <c r="AG323" s="316">
        <f t="shared" si="68"/>
      </c>
      <c r="AH323" s="316">
        <f t="shared" si="69"/>
      </c>
      <c r="AI323" s="316">
        <f t="shared" si="70"/>
        <v>0.9839999999999999</v>
      </c>
      <c r="AJ323" s="316">
        <f t="shared" si="71"/>
      </c>
      <c r="AK323" s="316">
        <f t="shared" si="72"/>
      </c>
    </row>
    <row r="324" spans="16:37" ht="15">
      <c r="P324" s="312">
        <f t="shared" si="67"/>
        <v>0.467459551372208</v>
      </c>
      <c r="Q324" s="247">
        <v>319</v>
      </c>
      <c r="R324" s="299">
        <f t="shared" si="73"/>
        <v>0.011416666666666667</v>
      </c>
      <c r="S324" s="250">
        <f t="shared" si="74"/>
        <v>0.9839999999999999</v>
      </c>
      <c r="AA324" s="316">
        <f t="shared" si="62"/>
      </c>
      <c r="AB324" s="316">
        <f t="shared" si="63"/>
      </c>
      <c r="AC324" s="316">
        <f t="shared" si="64"/>
        <v>0.011416666666666667</v>
      </c>
      <c r="AD324" s="316">
        <f t="shared" si="65"/>
      </c>
      <c r="AE324" s="316">
        <f t="shared" si="66"/>
      </c>
      <c r="AG324" s="316">
        <f t="shared" si="68"/>
      </c>
      <c r="AH324" s="316">
        <f t="shared" si="69"/>
      </c>
      <c r="AI324" s="316">
        <f t="shared" si="70"/>
        <v>0.9839999999999999</v>
      </c>
      <c r="AJ324" s="316">
        <f t="shared" si="71"/>
      </c>
      <c r="AK324" s="316">
        <f t="shared" si="72"/>
      </c>
    </row>
    <row r="325" spans="16:37" ht="15">
      <c r="P325" s="312">
        <f t="shared" si="67"/>
        <v>0.47288315897197025</v>
      </c>
      <c r="Q325" s="247">
        <v>320</v>
      </c>
      <c r="R325" s="299">
        <f t="shared" si="73"/>
        <v>0.011416666666666667</v>
      </c>
      <c r="S325" s="250">
        <f t="shared" si="74"/>
        <v>0.9839999999999999</v>
      </c>
      <c r="AA325" s="316">
        <f t="shared" si="62"/>
      </c>
      <c r="AB325" s="316">
        <f t="shared" si="63"/>
      </c>
      <c r="AC325" s="316">
        <f t="shared" si="64"/>
        <v>0.011416666666666667</v>
      </c>
      <c r="AD325" s="316">
        <f t="shared" si="65"/>
      </c>
      <c r="AE325" s="316">
        <f t="shared" si="66"/>
      </c>
      <c r="AG325" s="316">
        <f t="shared" si="68"/>
      </c>
      <c r="AH325" s="316">
        <f t="shared" si="69"/>
      </c>
      <c r="AI325" s="316">
        <f t="shared" si="70"/>
        <v>0.9839999999999999</v>
      </c>
      <c r="AJ325" s="316">
        <f t="shared" si="71"/>
      </c>
      <c r="AK325" s="316">
        <f t="shared" si="72"/>
      </c>
    </row>
    <row r="326" spans="16:37" ht="15">
      <c r="P326" s="312">
        <f t="shared" si="67"/>
        <v>0.4783696929132948</v>
      </c>
      <c r="Q326" s="247">
        <v>321</v>
      </c>
      <c r="R326" s="299">
        <f t="shared" si="73"/>
        <v>0.011416666666666667</v>
      </c>
      <c r="S326" s="250">
        <f t="shared" si="74"/>
        <v>0.9839999999999999</v>
      </c>
      <c r="AA326" s="316">
        <f aca="true" t="shared" si="75" ref="AA326:AA389">IF(P326&gt;=$F$17,IF(P326&lt;$F$18,R326,""),"")</f>
      </c>
      <c r="AB326" s="316">
        <f aca="true" t="shared" si="76" ref="AB326:AB389">IF(P326&gt;=$G$17,IF(P326&lt;$G$18,R326,""),"")</f>
      </c>
      <c r="AC326" s="316">
        <f aca="true" t="shared" si="77" ref="AC326:AC389">IF(P326&gt;=$H$17,IF(P326&lt;$H$18,R326,""),"")</f>
        <v>0.011416666666666667</v>
      </c>
      <c r="AD326" s="316">
        <f aca="true" t="shared" si="78" ref="AD326:AD389">IF(P326&gt;=$I$17,IF(P326&lt;$I$18,R326,""),"")</f>
      </c>
      <c r="AE326" s="316">
        <f aca="true" t="shared" si="79" ref="AE326:AE389">IF(P326&gt;=$J$17,IF(P326&lt;$J$18,R326,""),"")</f>
      </c>
      <c r="AG326" s="316">
        <f t="shared" si="68"/>
      </c>
      <c r="AH326" s="316">
        <f t="shared" si="69"/>
      </c>
      <c r="AI326" s="316">
        <f t="shared" si="70"/>
        <v>0.9839999999999999</v>
      </c>
      <c r="AJ326" s="316">
        <f t="shared" si="71"/>
      </c>
      <c r="AK326" s="316">
        <f t="shared" si="72"/>
      </c>
    </row>
    <row r="327" spans="16:37" ht="15">
      <c r="P327" s="312">
        <f aca="true" t="shared" si="80" ref="P327:P395">P326+(P326*R326/S326)</f>
        <v>0.483919883286696</v>
      </c>
      <c r="Q327" s="247">
        <v>322</v>
      </c>
      <c r="R327" s="299">
        <f t="shared" si="73"/>
        <v>0.011416666666666667</v>
      </c>
      <c r="S327" s="250">
        <f t="shared" si="74"/>
        <v>0.9839999999999999</v>
      </c>
      <c r="AA327" s="316">
        <f t="shared" si="75"/>
      </c>
      <c r="AB327" s="316">
        <f t="shared" si="76"/>
      </c>
      <c r="AC327" s="316">
        <f t="shared" si="77"/>
        <v>0.011416666666666667</v>
      </c>
      <c r="AD327" s="316">
        <f t="shared" si="78"/>
      </c>
      <c r="AE327" s="316">
        <f t="shared" si="79"/>
      </c>
      <c r="AG327" s="316">
        <f aca="true" t="shared" si="81" ref="AG327:AG390">IF(P327&gt;=$F$17,IF(P327&lt;$F$18,S327,""),"")</f>
      </c>
      <c r="AH327" s="316">
        <f aca="true" t="shared" si="82" ref="AH327:AH390">IF(P327&gt;=$G$17,IF(P327&lt;$G$18,S327,""),"")</f>
      </c>
      <c r="AI327" s="316">
        <f aca="true" t="shared" si="83" ref="AI327:AI390">IF(P327&gt;=$H$17,IF(P327&lt;$H$18,S327,""),"")</f>
        <v>0.9839999999999999</v>
      </c>
      <c r="AJ327" s="316">
        <f aca="true" t="shared" si="84" ref="AJ327:AJ390">IF(P327&gt;=$I$17,IF(P327&lt;$I$18,S327,""),"")</f>
      </c>
      <c r="AK327" s="316">
        <f aca="true" t="shared" si="85" ref="AK327:AK390">IF(P327&gt;=$J$17,IF(P327&lt;$J$18,S327,""),"")</f>
      </c>
    </row>
    <row r="328" spans="16:37" ht="15">
      <c r="P328" s="312">
        <f t="shared" si="80"/>
        <v>0.48953446865342004</v>
      </c>
      <c r="Q328" s="247">
        <v>323</v>
      </c>
      <c r="R328" s="299">
        <f t="shared" si="73"/>
        <v>0.011416666666666667</v>
      </c>
      <c r="S328" s="250">
        <f t="shared" si="74"/>
        <v>0.9839999999999999</v>
      </c>
      <c r="AA328" s="316">
        <f t="shared" si="75"/>
      </c>
      <c r="AB328" s="316">
        <f t="shared" si="76"/>
      </c>
      <c r="AC328" s="316">
        <f t="shared" si="77"/>
        <v>0.011416666666666667</v>
      </c>
      <c r="AD328" s="316">
        <f t="shared" si="78"/>
      </c>
      <c r="AE328" s="316">
        <f t="shared" si="79"/>
      </c>
      <c r="AG328" s="316">
        <f t="shared" si="81"/>
      </c>
      <c r="AH328" s="316">
        <f t="shared" si="82"/>
      </c>
      <c r="AI328" s="316">
        <f t="shared" si="83"/>
        <v>0.9839999999999999</v>
      </c>
      <c r="AJ328" s="316">
        <f t="shared" si="84"/>
      </c>
      <c r="AK328" s="316">
        <f t="shared" si="85"/>
      </c>
    </row>
    <row r="329" spans="16:37" ht="15">
      <c r="P329" s="312">
        <f t="shared" si="80"/>
        <v>0.4952141961437248</v>
      </c>
      <c r="Q329" s="247">
        <v>324</v>
      </c>
      <c r="R329" s="299">
        <f t="shared" si="73"/>
        <v>0.011416666666666667</v>
      </c>
      <c r="S329" s="250">
        <f>0.82*1.2</f>
        <v>0.9839999999999999</v>
      </c>
      <c r="AA329" s="316">
        <f t="shared" si="75"/>
      </c>
      <c r="AB329" s="316">
        <f t="shared" si="76"/>
      </c>
      <c r="AC329" s="316">
        <f t="shared" si="77"/>
        <v>0.011416666666666667</v>
      </c>
      <c r="AD329" s="316">
        <f t="shared" si="78"/>
      </c>
      <c r="AE329" s="316">
        <f t="shared" si="79"/>
      </c>
      <c r="AG329" s="316">
        <f t="shared" si="81"/>
      </c>
      <c r="AH329" s="316">
        <f t="shared" si="82"/>
      </c>
      <c r="AI329" s="316">
        <f t="shared" si="83"/>
        <v>0.9839999999999999</v>
      </c>
      <c r="AJ329" s="316">
        <f t="shared" si="84"/>
      </c>
      <c r="AK329" s="316">
        <f t="shared" si="85"/>
      </c>
    </row>
    <row r="330" spans="16:37" ht="15">
      <c r="P330" s="312">
        <f t="shared" si="80"/>
        <v>0.5009598215563003</v>
      </c>
      <c r="Q330" s="248">
        <v>325</v>
      </c>
      <c r="R330" s="299">
        <f aca="true" t="shared" si="86" ref="R330:R393">0.0108/1.2</f>
        <v>0.009000000000000001</v>
      </c>
      <c r="S330" s="250">
        <f>0.885*1.2</f>
        <v>1.062</v>
      </c>
      <c r="AA330" s="316">
        <f t="shared" si="75"/>
      </c>
      <c r="AB330" s="316">
        <f t="shared" si="76"/>
      </c>
      <c r="AC330" s="316">
        <f t="shared" si="77"/>
      </c>
      <c r="AD330" s="316">
        <f t="shared" si="78"/>
        <v>0.009000000000000001</v>
      </c>
      <c r="AE330" s="316">
        <f t="shared" si="79"/>
      </c>
      <c r="AG330" s="316">
        <f t="shared" si="81"/>
      </c>
      <c r="AH330" s="316">
        <f t="shared" si="82"/>
      </c>
      <c r="AI330" s="316">
        <f t="shared" si="83"/>
      </c>
      <c r="AJ330" s="316">
        <f t="shared" si="84"/>
        <v>1.062</v>
      </c>
      <c r="AK330" s="316">
        <f t="shared" si="85"/>
      </c>
    </row>
    <row r="331" spans="16:37" ht="15">
      <c r="P331" s="312">
        <f t="shared" si="80"/>
        <v>0.5052052437728791</v>
      </c>
      <c r="Q331" s="247">
        <v>326</v>
      </c>
      <c r="R331" s="299">
        <f t="shared" si="86"/>
        <v>0.009000000000000001</v>
      </c>
      <c r="S331" s="250">
        <f aca="true" t="shared" si="87" ref="S331:S394">0.885*1.2</f>
        <v>1.062</v>
      </c>
      <c r="AA331" s="316">
        <f t="shared" si="75"/>
      </c>
      <c r="AB331" s="316">
        <f t="shared" si="76"/>
      </c>
      <c r="AC331" s="316">
        <f t="shared" si="77"/>
      </c>
      <c r="AD331" s="316">
        <f t="shared" si="78"/>
        <v>0.009000000000000001</v>
      </c>
      <c r="AE331" s="316">
        <f t="shared" si="79"/>
      </c>
      <c r="AG331" s="316">
        <f t="shared" si="81"/>
      </c>
      <c r="AH331" s="316">
        <f t="shared" si="82"/>
      </c>
      <c r="AI331" s="316">
        <f t="shared" si="83"/>
      </c>
      <c r="AJ331" s="316">
        <f t="shared" si="84"/>
        <v>1.062</v>
      </c>
      <c r="AK331" s="316">
        <f t="shared" si="85"/>
      </c>
    </row>
    <row r="332" spans="16:37" ht="15">
      <c r="P332" s="312">
        <f t="shared" si="80"/>
        <v>0.5094866441438357</v>
      </c>
      <c r="Q332" s="247">
        <v>327</v>
      </c>
      <c r="R332" s="299">
        <f t="shared" si="86"/>
        <v>0.009000000000000001</v>
      </c>
      <c r="S332" s="250">
        <f t="shared" si="87"/>
        <v>1.062</v>
      </c>
      <c r="AA332" s="316">
        <f t="shared" si="75"/>
      </c>
      <c r="AB332" s="316">
        <f t="shared" si="76"/>
      </c>
      <c r="AC332" s="316">
        <f t="shared" si="77"/>
      </c>
      <c r="AD332" s="316">
        <f t="shared" si="78"/>
        <v>0.009000000000000001</v>
      </c>
      <c r="AE332" s="316">
        <f t="shared" si="79"/>
      </c>
      <c r="AG332" s="316">
        <f t="shared" si="81"/>
      </c>
      <c r="AH332" s="316">
        <f t="shared" si="82"/>
      </c>
      <c r="AI332" s="316">
        <f t="shared" si="83"/>
      </c>
      <c r="AJ332" s="316">
        <f t="shared" si="84"/>
        <v>1.062</v>
      </c>
      <c r="AK332" s="316">
        <f t="shared" si="85"/>
      </c>
    </row>
    <row r="333" spans="16:37" ht="15">
      <c r="P333" s="312">
        <f t="shared" si="80"/>
        <v>0.5138043275687835</v>
      </c>
      <c r="Q333" s="247">
        <v>328</v>
      </c>
      <c r="R333" s="299">
        <f t="shared" si="86"/>
        <v>0.009000000000000001</v>
      </c>
      <c r="S333" s="250">
        <f t="shared" si="87"/>
        <v>1.062</v>
      </c>
      <c r="AA333" s="316">
        <f t="shared" si="75"/>
      </c>
      <c r="AB333" s="316">
        <f t="shared" si="76"/>
      </c>
      <c r="AC333" s="316">
        <f t="shared" si="77"/>
      </c>
      <c r="AD333" s="316">
        <f t="shared" si="78"/>
        <v>0.009000000000000001</v>
      </c>
      <c r="AE333" s="316">
        <f t="shared" si="79"/>
      </c>
      <c r="AG333" s="316">
        <f t="shared" si="81"/>
      </c>
      <c r="AH333" s="316">
        <f t="shared" si="82"/>
      </c>
      <c r="AI333" s="316">
        <f t="shared" si="83"/>
      </c>
      <c r="AJ333" s="316">
        <f t="shared" si="84"/>
        <v>1.062</v>
      </c>
      <c r="AK333" s="316">
        <f t="shared" si="85"/>
      </c>
    </row>
    <row r="334" spans="16:37" ht="15">
      <c r="P334" s="312">
        <f t="shared" si="80"/>
        <v>0.5181586015312308</v>
      </c>
      <c r="Q334" s="247">
        <v>329</v>
      </c>
      <c r="R334" s="299">
        <f t="shared" si="86"/>
        <v>0.009000000000000001</v>
      </c>
      <c r="S334" s="250">
        <f t="shared" si="87"/>
        <v>1.062</v>
      </c>
      <c r="AA334" s="316">
        <f t="shared" si="75"/>
      </c>
      <c r="AB334" s="316">
        <f t="shared" si="76"/>
      </c>
      <c r="AC334" s="316">
        <f t="shared" si="77"/>
      </c>
      <c r="AD334" s="316">
        <f t="shared" si="78"/>
        <v>0.009000000000000001</v>
      </c>
      <c r="AE334" s="316">
        <f t="shared" si="79"/>
      </c>
      <c r="AG334" s="316">
        <f t="shared" si="81"/>
      </c>
      <c r="AH334" s="316">
        <f t="shared" si="82"/>
      </c>
      <c r="AI334" s="316">
        <f t="shared" si="83"/>
      </c>
      <c r="AJ334" s="316">
        <f t="shared" si="84"/>
        <v>1.062</v>
      </c>
      <c r="AK334" s="316">
        <f t="shared" si="85"/>
      </c>
    </row>
    <row r="335" spans="16:37" ht="15">
      <c r="P335" s="312">
        <f t="shared" si="80"/>
        <v>0.5225497761204786</v>
      </c>
      <c r="Q335" s="247">
        <v>330</v>
      </c>
      <c r="R335" s="299">
        <f t="shared" si="86"/>
        <v>0.009000000000000001</v>
      </c>
      <c r="S335" s="250">
        <f t="shared" si="87"/>
        <v>1.062</v>
      </c>
      <c r="AA335" s="316">
        <f t="shared" si="75"/>
      </c>
      <c r="AB335" s="316">
        <f t="shared" si="76"/>
      </c>
      <c r="AC335" s="316">
        <f t="shared" si="77"/>
      </c>
      <c r="AD335" s="316">
        <f t="shared" si="78"/>
        <v>0.009000000000000001</v>
      </c>
      <c r="AE335" s="316">
        <f t="shared" si="79"/>
      </c>
      <c r="AG335" s="316">
        <f t="shared" si="81"/>
      </c>
      <c r="AH335" s="316">
        <f t="shared" si="82"/>
      </c>
      <c r="AI335" s="316">
        <f t="shared" si="83"/>
      </c>
      <c r="AJ335" s="316">
        <f t="shared" si="84"/>
        <v>1.062</v>
      </c>
      <c r="AK335" s="316">
        <f t="shared" si="85"/>
      </c>
    </row>
    <row r="336" spans="16:37" ht="15">
      <c r="P336" s="312">
        <f t="shared" si="80"/>
        <v>0.526978164053703</v>
      </c>
      <c r="Q336" s="247">
        <v>331</v>
      </c>
      <c r="R336" s="299">
        <f t="shared" si="86"/>
        <v>0.009000000000000001</v>
      </c>
      <c r="S336" s="250">
        <f t="shared" si="87"/>
        <v>1.062</v>
      </c>
      <c r="AA336" s="316">
        <f t="shared" si="75"/>
      </c>
      <c r="AB336" s="316">
        <f t="shared" si="76"/>
      </c>
      <c r="AC336" s="316">
        <f t="shared" si="77"/>
      </c>
      <c r="AD336" s="316">
        <f t="shared" si="78"/>
        <v>0.009000000000000001</v>
      </c>
      <c r="AE336" s="316">
        <f t="shared" si="79"/>
      </c>
      <c r="AG336" s="316">
        <f t="shared" si="81"/>
      </c>
      <c r="AH336" s="316">
        <f t="shared" si="82"/>
      </c>
      <c r="AI336" s="316">
        <f t="shared" si="83"/>
      </c>
      <c r="AJ336" s="316">
        <f t="shared" si="84"/>
        <v>1.062</v>
      </c>
      <c r="AK336" s="316">
        <f t="shared" si="85"/>
      </c>
    </row>
    <row r="337" spans="16:37" ht="15">
      <c r="P337" s="312">
        <f t="shared" si="80"/>
        <v>0.5314440806982259</v>
      </c>
      <c r="Q337" s="247">
        <v>332</v>
      </c>
      <c r="R337" s="299">
        <f t="shared" si="86"/>
        <v>0.009000000000000001</v>
      </c>
      <c r="S337" s="250">
        <f t="shared" si="87"/>
        <v>1.062</v>
      </c>
      <c r="AA337" s="316">
        <f t="shared" si="75"/>
      </c>
      <c r="AB337" s="316">
        <f t="shared" si="76"/>
      </c>
      <c r="AC337" s="316">
        <f t="shared" si="77"/>
      </c>
      <c r="AD337" s="316">
        <f t="shared" si="78"/>
        <v>0.009000000000000001</v>
      </c>
      <c r="AE337" s="316">
        <f t="shared" si="79"/>
      </c>
      <c r="AG337" s="316">
        <f t="shared" si="81"/>
      </c>
      <c r="AH337" s="316">
        <f t="shared" si="82"/>
      </c>
      <c r="AI337" s="316">
        <f t="shared" si="83"/>
      </c>
      <c r="AJ337" s="316">
        <f t="shared" si="84"/>
        <v>1.062</v>
      </c>
      <c r="AK337" s="316">
        <f t="shared" si="85"/>
      </c>
    </row>
    <row r="338" spans="16:37" ht="15">
      <c r="P338" s="312">
        <f t="shared" si="80"/>
        <v>0.5359478440939736</v>
      </c>
      <c r="Q338" s="247">
        <v>333</v>
      </c>
      <c r="R338" s="299">
        <f t="shared" si="86"/>
        <v>0.009000000000000001</v>
      </c>
      <c r="S338" s="250">
        <f t="shared" si="87"/>
        <v>1.062</v>
      </c>
      <c r="AA338" s="316">
        <f t="shared" si="75"/>
      </c>
      <c r="AB338" s="316">
        <f t="shared" si="76"/>
      </c>
      <c r="AC338" s="316">
        <f t="shared" si="77"/>
      </c>
      <c r="AD338" s="316">
        <f t="shared" si="78"/>
        <v>0.009000000000000001</v>
      </c>
      <c r="AE338" s="316">
        <f t="shared" si="79"/>
      </c>
      <c r="AG338" s="316">
        <f t="shared" si="81"/>
      </c>
      <c r="AH338" s="316">
        <f t="shared" si="82"/>
      </c>
      <c r="AI338" s="316">
        <f t="shared" si="83"/>
      </c>
      <c r="AJ338" s="316">
        <f t="shared" si="84"/>
        <v>1.062</v>
      </c>
      <c r="AK338" s="316">
        <f t="shared" si="85"/>
      </c>
    </row>
    <row r="339" spans="16:37" ht="15">
      <c r="P339" s="312">
        <f t="shared" si="80"/>
        <v>0.5404897749761258</v>
      </c>
      <c r="Q339" s="247">
        <v>334</v>
      </c>
      <c r="R339" s="299">
        <f t="shared" si="86"/>
        <v>0.009000000000000001</v>
      </c>
      <c r="S339" s="250">
        <f t="shared" si="87"/>
        <v>1.062</v>
      </c>
      <c r="AA339" s="316">
        <f t="shared" si="75"/>
      </c>
      <c r="AB339" s="316">
        <f t="shared" si="76"/>
      </c>
      <c r="AC339" s="316">
        <f t="shared" si="77"/>
      </c>
      <c r="AD339" s="316">
        <f t="shared" si="78"/>
        <v>0.009000000000000001</v>
      </c>
      <c r="AE339" s="316">
        <f t="shared" si="79"/>
      </c>
      <c r="AG339" s="316">
        <f t="shared" si="81"/>
      </c>
      <c r="AH339" s="316">
        <f t="shared" si="82"/>
      </c>
      <c r="AI339" s="316">
        <f t="shared" si="83"/>
      </c>
      <c r="AJ339" s="316">
        <f t="shared" si="84"/>
        <v>1.062</v>
      </c>
      <c r="AK339" s="316">
        <f t="shared" si="85"/>
      </c>
    </row>
    <row r="340" spans="16:37" ht="15">
      <c r="P340" s="312">
        <f t="shared" si="80"/>
        <v>0.5450701967979574</v>
      </c>
      <c r="Q340" s="247">
        <v>335</v>
      </c>
      <c r="R340" s="299">
        <f t="shared" si="86"/>
        <v>0.009000000000000001</v>
      </c>
      <c r="S340" s="250">
        <f t="shared" si="87"/>
        <v>1.062</v>
      </c>
      <c r="AA340" s="316">
        <f t="shared" si="75"/>
      </c>
      <c r="AB340" s="316">
        <f t="shared" si="76"/>
      </c>
      <c r="AC340" s="316">
        <f t="shared" si="77"/>
      </c>
      <c r="AD340" s="316">
        <f t="shared" si="78"/>
        <v>0.009000000000000001</v>
      </c>
      <c r="AE340" s="316">
        <f t="shared" si="79"/>
      </c>
      <c r="AG340" s="316">
        <f t="shared" si="81"/>
      </c>
      <c r="AH340" s="316">
        <f t="shared" si="82"/>
      </c>
      <c r="AI340" s="316">
        <f t="shared" si="83"/>
      </c>
      <c r="AJ340" s="316">
        <f t="shared" si="84"/>
        <v>1.062</v>
      </c>
      <c r="AK340" s="316">
        <f t="shared" si="85"/>
      </c>
    </row>
    <row r="341" spans="16:37" ht="15">
      <c r="P341" s="312">
        <f t="shared" si="80"/>
        <v>0.5496894357538723</v>
      </c>
      <c r="Q341" s="247">
        <v>336</v>
      </c>
      <c r="R341" s="299">
        <f t="shared" si="86"/>
        <v>0.009000000000000001</v>
      </c>
      <c r="S341" s="250">
        <f t="shared" si="87"/>
        <v>1.062</v>
      </c>
      <c r="AA341" s="316">
        <f t="shared" si="75"/>
      </c>
      <c r="AB341" s="316">
        <f t="shared" si="76"/>
      </c>
      <c r="AC341" s="316">
        <f t="shared" si="77"/>
      </c>
      <c r="AD341" s="316">
        <f t="shared" si="78"/>
        <v>0.009000000000000001</v>
      </c>
      <c r="AE341" s="316">
        <f t="shared" si="79"/>
      </c>
      <c r="AG341" s="316">
        <f t="shared" si="81"/>
      </c>
      <c r="AH341" s="316">
        <f t="shared" si="82"/>
      </c>
      <c r="AI341" s="316">
        <f t="shared" si="83"/>
      </c>
      <c r="AJ341" s="316">
        <f t="shared" si="84"/>
        <v>1.062</v>
      </c>
      <c r="AK341" s="316">
        <f t="shared" si="85"/>
      </c>
    </row>
    <row r="342" spans="16:37" ht="15">
      <c r="P342" s="312">
        <f t="shared" si="80"/>
        <v>0.5543478208026339</v>
      </c>
      <c r="Q342" s="247">
        <v>337</v>
      </c>
      <c r="R342" s="299">
        <f t="shared" si="86"/>
        <v>0.009000000000000001</v>
      </c>
      <c r="S342" s="250">
        <f t="shared" si="87"/>
        <v>1.062</v>
      </c>
      <c r="AA342" s="316">
        <f t="shared" si="75"/>
      </c>
      <c r="AB342" s="316">
        <f t="shared" si="76"/>
      </c>
      <c r="AC342" s="316">
        <f t="shared" si="77"/>
      </c>
      <c r="AD342" s="316">
        <f t="shared" si="78"/>
        <v>0.009000000000000001</v>
      </c>
      <c r="AE342" s="316">
        <f t="shared" si="79"/>
      </c>
      <c r="AG342" s="316">
        <f t="shared" si="81"/>
      </c>
      <c r="AH342" s="316">
        <f t="shared" si="82"/>
      </c>
      <c r="AI342" s="316">
        <f t="shared" si="83"/>
      </c>
      <c r="AJ342" s="316">
        <f t="shared" si="84"/>
        <v>1.062</v>
      </c>
      <c r="AK342" s="316">
        <f t="shared" si="85"/>
      </c>
    </row>
    <row r="343" spans="16:37" ht="15">
      <c r="P343" s="312">
        <f t="shared" si="80"/>
        <v>0.5590456836907918</v>
      </c>
      <c r="Q343" s="247">
        <v>338</v>
      </c>
      <c r="R343" s="299">
        <f t="shared" si="86"/>
        <v>0.009000000000000001</v>
      </c>
      <c r="S343" s="250">
        <f t="shared" si="87"/>
        <v>1.062</v>
      </c>
      <c r="AA343" s="316">
        <f t="shared" si="75"/>
      </c>
      <c r="AB343" s="316">
        <f t="shared" si="76"/>
      </c>
      <c r="AC343" s="316">
        <f t="shared" si="77"/>
      </c>
      <c r="AD343" s="316">
        <f t="shared" si="78"/>
        <v>0.009000000000000001</v>
      </c>
      <c r="AE343" s="316">
        <f t="shared" si="79"/>
      </c>
      <c r="AG343" s="316">
        <f t="shared" si="81"/>
      </c>
      <c r="AH343" s="316">
        <f t="shared" si="82"/>
      </c>
      <c r="AI343" s="316">
        <f t="shared" si="83"/>
      </c>
      <c r="AJ343" s="316">
        <f t="shared" si="84"/>
        <v>1.062</v>
      </c>
      <c r="AK343" s="316">
        <f t="shared" si="85"/>
      </c>
    </row>
    <row r="344" spans="16:37" ht="15">
      <c r="P344" s="312">
        <f t="shared" si="80"/>
        <v>0.5637833589763069</v>
      </c>
      <c r="Q344" s="247">
        <v>339</v>
      </c>
      <c r="R344" s="299">
        <f t="shared" si="86"/>
        <v>0.009000000000000001</v>
      </c>
      <c r="S344" s="250">
        <f t="shared" si="87"/>
        <v>1.062</v>
      </c>
      <c r="AA344" s="316">
        <f t="shared" si="75"/>
      </c>
      <c r="AB344" s="316">
        <f t="shared" si="76"/>
      </c>
      <c r="AC344" s="316">
        <f t="shared" si="77"/>
      </c>
      <c r="AD344" s="316">
        <f t="shared" si="78"/>
        <v>0.009000000000000001</v>
      </c>
      <c r="AE344" s="316">
        <f t="shared" si="79"/>
      </c>
      <c r="AG344" s="316">
        <f t="shared" si="81"/>
      </c>
      <c r="AH344" s="316">
        <f t="shared" si="82"/>
      </c>
      <c r="AI344" s="316">
        <f t="shared" si="83"/>
      </c>
      <c r="AJ344" s="316">
        <f t="shared" si="84"/>
        <v>1.062</v>
      </c>
      <c r="AK344" s="316">
        <f t="shared" si="85"/>
      </c>
    </row>
    <row r="345" spans="16:37" ht="15">
      <c r="P345" s="312">
        <f t="shared" si="80"/>
        <v>0.5685611840523773</v>
      </c>
      <c r="Q345" s="247">
        <v>340</v>
      </c>
      <c r="R345" s="299">
        <f t="shared" si="86"/>
        <v>0.009000000000000001</v>
      </c>
      <c r="S345" s="250">
        <f t="shared" si="87"/>
        <v>1.062</v>
      </c>
      <c r="AA345" s="316">
        <f t="shared" si="75"/>
      </c>
      <c r="AB345" s="316">
        <f t="shared" si="76"/>
      </c>
      <c r="AC345" s="316">
        <f t="shared" si="77"/>
      </c>
      <c r="AD345" s="316">
        <f t="shared" si="78"/>
        <v>0.009000000000000001</v>
      </c>
      <c r="AE345" s="316">
        <f t="shared" si="79"/>
      </c>
      <c r="AG345" s="316">
        <f t="shared" si="81"/>
      </c>
      <c r="AH345" s="316">
        <f t="shared" si="82"/>
      </c>
      <c r="AI345" s="316">
        <f t="shared" si="83"/>
      </c>
      <c r="AJ345" s="316">
        <f t="shared" si="84"/>
        <v>1.062</v>
      </c>
      <c r="AK345" s="316">
        <f t="shared" si="85"/>
      </c>
    </row>
    <row r="346" spans="16:37" ht="15">
      <c r="P346" s="312">
        <f t="shared" si="80"/>
        <v>0.5733794991714652</v>
      </c>
      <c r="Q346" s="247">
        <v>341</v>
      </c>
      <c r="R346" s="299">
        <f t="shared" si="86"/>
        <v>0.009000000000000001</v>
      </c>
      <c r="S346" s="250">
        <f t="shared" si="87"/>
        <v>1.062</v>
      </c>
      <c r="AA346" s="316">
        <f t="shared" si="75"/>
      </c>
      <c r="AB346" s="316">
        <f t="shared" si="76"/>
      </c>
      <c r="AC346" s="316">
        <f t="shared" si="77"/>
      </c>
      <c r="AD346" s="316">
        <f t="shared" si="78"/>
        <v>0.009000000000000001</v>
      </c>
      <c r="AE346" s="316">
        <f t="shared" si="79"/>
      </c>
      <c r="AG346" s="316">
        <f t="shared" si="81"/>
      </c>
      <c r="AH346" s="316">
        <f t="shared" si="82"/>
      </c>
      <c r="AI346" s="316">
        <f t="shared" si="83"/>
      </c>
      <c r="AJ346" s="316">
        <f t="shared" si="84"/>
        <v>1.062</v>
      </c>
      <c r="AK346" s="316">
        <f t="shared" si="85"/>
      </c>
    </row>
    <row r="347" spans="16:37" ht="15">
      <c r="P347" s="312">
        <f t="shared" si="80"/>
        <v>0.5782386474695285</v>
      </c>
      <c r="Q347" s="247">
        <v>342</v>
      </c>
      <c r="R347" s="299">
        <f t="shared" si="86"/>
        <v>0.009000000000000001</v>
      </c>
      <c r="S347" s="250">
        <f t="shared" si="87"/>
        <v>1.062</v>
      </c>
      <c r="AA347" s="316">
        <f t="shared" si="75"/>
      </c>
      <c r="AB347" s="316">
        <f t="shared" si="76"/>
      </c>
      <c r="AC347" s="316">
        <f t="shared" si="77"/>
      </c>
      <c r="AD347" s="316">
        <f t="shared" si="78"/>
        <v>0.009000000000000001</v>
      </c>
      <c r="AE347" s="316">
        <f t="shared" si="79"/>
      </c>
      <c r="AG347" s="316">
        <f t="shared" si="81"/>
      </c>
      <c r="AH347" s="316">
        <f t="shared" si="82"/>
      </c>
      <c r="AI347" s="316">
        <f t="shared" si="83"/>
      </c>
      <c r="AJ347" s="316">
        <f t="shared" si="84"/>
        <v>1.062</v>
      </c>
      <c r="AK347" s="316">
        <f t="shared" si="85"/>
      </c>
    </row>
    <row r="348" spans="16:37" ht="15">
      <c r="P348" s="312">
        <f t="shared" si="80"/>
        <v>0.5831389749904566</v>
      </c>
      <c r="Q348" s="247">
        <v>343</v>
      </c>
      <c r="R348" s="299">
        <f t="shared" si="86"/>
        <v>0.009000000000000001</v>
      </c>
      <c r="S348" s="250">
        <f t="shared" si="87"/>
        <v>1.062</v>
      </c>
      <c r="AA348" s="316">
        <f t="shared" si="75"/>
      </c>
      <c r="AB348" s="316">
        <f t="shared" si="76"/>
      </c>
      <c r="AC348" s="316">
        <f t="shared" si="77"/>
      </c>
      <c r="AD348" s="316">
        <f t="shared" si="78"/>
        <v>0.009000000000000001</v>
      </c>
      <c r="AE348" s="316">
        <f t="shared" si="79"/>
      </c>
      <c r="AG348" s="316">
        <f t="shared" si="81"/>
      </c>
      <c r="AH348" s="316">
        <f t="shared" si="82"/>
      </c>
      <c r="AI348" s="316">
        <f t="shared" si="83"/>
      </c>
      <c r="AJ348" s="316">
        <f t="shared" si="84"/>
        <v>1.062</v>
      </c>
      <c r="AK348" s="316">
        <f t="shared" si="85"/>
      </c>
    </row>
    <row r="349" spans="16:37" ht="15">
      <c r="P349" s="312">
        <f t="shared" si="80"/>
        <v>0.5880808307107147</v>
      </c>
      <c r="Q349" s="247">
        <v>344</v>
      </c>
      <c r="R349" s="299">
        <f t="shared" si="86"/>
        <v>0.009000000000000001</v>
      </c>
      <c r="S349" s="250">
        <f t="shared" si="87"/>
        <v>1.062</v>
      </c>
      <c r="AA349" s="316">
        <f t="shared" si="75"/>
      </c>
      <c r="AB349" s="316">
        <f t="shared" si="76"/>
      </c>
      <c r="AC349" s="316">
        <f t="shared" si="77"/>
      </c>
      <c r="AD349" s="316">
        <f t="shared" si="78"/>
        <v>0.009000000000000001</v>
      </c>
      <c r="AE349" s="316">
        <f t="shared" si="79"/>
      </c>
      <c r="AG349" s="316">
        <f t="shared" si="81"/>
      </c>
      <c r="AH349" s="316">
        <f t="shared" si="82"/>
      </c>
      <c r="AI349" s="316">
        <f t="shared" si="83"/>
      </c>
      <c r="AJ349" s="316">
        <f t="shared" si="84"/>
        <v>1.062</v>
      </c>
      <c r="AK349" s="316">
        <f t="shared" si="85"/>
      </c>
    </row>
    <row r="350" spans="16:37" ht="15">
      <c r="P350" s="312">
        <f t="shared" si="80"/>
        <v>0.5930645665641954</v>
      </c>
      <c r="Q350" s="247">
        <v>345</v>
      </c>
      <c r="R350" s="299">
        <f t="shared" si="86"/>
        <v>0.009000000000000001</v>
      </c>
      <c r="S350" s="250">
        <f t="shared" si="87"/>
        <v>1.062</v>
      </c>
      <c r="AA350" s="316">
        <f t="shared" si="75"/>
      </c>
      <c r="AB350" s="316">
        <f t="shared" si="76"/>
      </c>
      <c r="AC350" s="316">
        <f t="shared" si="77"/>
      </c>
      <c r="AD350" s="316">
        <f t="shared" si="78"/>
        <v>0.009000000000000001</v>
      </c>
      <c r="AE350" s="316">
        <f t="shared" si="79"/>
      </c>
      <c r="AG350" s="316">
        <f t="shared" si="81"/>
      </c>
      <c r="AH350" s="316">
        <f t="shared" si="82"/>
      </c>
      <c r="AI350" s="316">
        <f t="shared" si="83"/>
      </c>
      <c r="AJ350" s="316">
        <f t="shared" si="84"/>
        <v>1.062</v>
      </c>
      <c r="AK350" s="316">
        <f t="shared" si="85"/>
      </c>
    </row>
    <row r="351" spans="16:37" ht="15">
      <c r="P351" s="312">
        <f t="shared" si="80"/>
        <v>0.5980905374672818</v>
      </c>
      <c r="Q351" s="247">
        <v>346</v>
      </c>
      <c r="R351" s="299">
        <f t="shared" si="86"/>
        <v>0.009000000000000001</v>
      </c>
      <c r="S351" s="250">
        <f t="shared" si="87"/>
        <v>1.062</v>
      </c>
      <c r="AA351" s="316">
        <f t="shared" si="75"/>
      </c>
      <c r="AB351" s="316">
        <f t="shared" si="76"/>
      </c>
      <c r="AC351" s="316">
        <f t="shared" si="77"/>
      </c>
      <c r="AD351" s="316">
        <f t="shared" si="78"/>
        <v>0.009000000000000001</v>
      </c>
      <c r="AE351" s="316">
        <f t="shared" si="79"/>
      </c>
      <c r="AG351" s="316">
        <f t="shared" si="81"/>
      </c>
      <c r="AH351" s="316">
        <f t="shared" si="82"/>
      </c>
      <c r="AI351" s="316">
        <f t="shared" si="83"/>
      </c>
      <c r="AJ351" s="316">
        <f t="shared" si="84"/>
        <v>1.062</v>
      </c>
      <c r="AK351" s="316">
        <f t="shared" si="85"/>
      </c>
    </row>
    <row r="352" spans="16:37" ht="15">
      <c r="P352" s="312">
        <f t="shared" si="80"/>
        <v>0.6031591013441232</v>
      </c>
      <c r="Q352" s="247">
        <v>347</v>
      </c>
      <c r="R352" s="299">
        <f t="shared" si="86"/>
        <v>0.009000000000000001</v>
      </c>
      <c r="S352" s="250">
        <f t="shared" si="87"/>
        <v>1.062</v>
      </c>
      <c r="AA352" s="316">
        <f t="shared" si="75"/>
      </c>
      <c r="AB352" s="316">
        <f t="shared" si="76"/>
      </c>
      <c r="AC352" s="316">
        <f t="shared" si="77"/>
      </c>
      <c r="AD352" s="316">
        <f t="shared" si="78"/>
        <v>0.009000000000000001</v>
      </c>
      <c r="AE352" s="316">
        <f t="shared" si="79"/>
      </c>
      <c r="AG352" s="316">
        <f t="shared" si="81"/>
      </c>
      <c r="AH352" s="316">
        <f t="shared" si="82"/>
      </c>
      <c r="AI352" s="316">
        <f t="shared" si="83"/>
      </c>
      <c r="AJ352" s="316">
        <f t="shared" si="84"/>
        <v>1.062</v>
      </c>
      <c r="AK352" s="316">
        <f t="shared" si="85"/>
      </c>
    </row>
    <row r="353" spans="16:37" ht="15">
      <c r="P353" s="312">
        <f t="shared" si="80"/>
        <v>0.6082706191521242</v>
      </c>
      <c r="Q353" s="247">
        <v>348</v>
      </c>
      <c r="R353" s="299">
        <f t="shared" si="86"/>
        <v>0.009000000000000001</v>
      </c>
      <c r="S353" s="250">
        <f t="shared" si="87"/>
        <v>1.062</v>
      </c>
      <c r="AA353" s="316">
        <f t="shared" si="75"/>
      </c>
      <c r="AB353" s="316">
        <f t="shared" si="76"/>
      </c>
      <c r="AC353" s="316">
        <f t="shared" si="77"/>
      </c>
      <c r="AD353" s="316">
        <f t="shared" si="78"/>
        <v>0.009000000000000001</v>
      </c>
      <c r="AE353" s="316">
        <f t="shared" si="79"/>
      </c>
      <c r="AG353" s="316">
        <f t="shared" si="81"/>
      </c>
      <c r="AH353" s="316">
        <f t="shared" si="82"/>
      </c>
      <c r="AI353" s="316">
        <f t="shared" si="83"/>
      </c>
      <c r="AJ353" s="316">
        <f t="shared" si="84"/>
        <v>1.062</v>
      </c>
      <c r="AK353" s="316">
        <f t="shared" si="85"/>
      </c>
    </row>
    <row r="354" spans="16:37" ht="15">
      <c r="P354" s="312">
        <f t="shared" si="80"/>
        <v>0.6134254549076507</v>
      </c>
      <c r="Q354" s="247">
        <v>349</v>
      </c>
      <c r="R354" s="299">
        <f t="shared" si="86"/>
        <v>0.009000000000000001</v>
      </c>
      <c r="S354" s="250">
        <f t="shared" si="87"/>
        <v>1.062</v>
      </c>
      <c r="AA354" s="316">
        <f t="shared" si="75"/>
      </c>
      <c r="AB354" s="316">
        <f t="shared" si="76"/>
      </c>
      <c r="AC354" s="316">
        <f t="shared" si="77"/>
      </c>
      <c r="AD354" s="316">
        <f t="shared" si="78"/>
        <v>0.009000000000000001</v>
      </c>
      <c r="AE354" s="316">
        <f t="shared" si="79"/>
      </c>
      <c r="AG354" s="316">
        <f t="shared" si="81"/>
      </c>
      <c r="AH354" s="316">
        <f t="shared" si="82"/>
      </c>
      <c r="AI354" s="316">
        <f t="shared" si="83"/>
      </c>
      <c r="AJ354" s="316">
        <f t="shared" si="84"/>
        <v>1.062</v>
      </c>
      <c r="AK354" s="316">
        <f t="shared" si="85"/>
      </c>
    </row>
    <row r="355" spans="16:37" ht="15">
      <c r="P355" s="312">
        <f t="shared" si="80"/>
        <v>0.6186239757119528</v>
      </c>
      <c r="Q355" s="247">
        <v>350</v>
      </c>
      <c r="R355" s="299">
        <f t="shared" si="86"/>
        <v>0.009000000000000001</v>
      </c>
      <c r="S355" s="250">
        <f t="shared" si="87"/>
        <v>1.062</v>
      </c>
      <c r="AA355" s="316">
        <f t="shared" si="75"/>
      </c>
      <c r="AB355" s="316">
        <f t="shared" si="76"/>
      </c>
      <c r="AC355" s="316">
        <f t="shared" si="77"/>
      </c>
      <c r="AD355" s="316">
        <f t="shared" si="78"/>
        <v>0.009000000000000001</v>
      </c>
      <c r="AE355" s="316">
        <f t="shared" si="79"/>
      </c>
      <c r="AG355" s="316">
        <f t="shared" si="81"/>
      </c>
      <c r="AH355" s="316">
        <f t="shared" si="82"/>
      </c>
      <c r="AI355" s="316">
        <f t="shared" si="83"/>
      </c>
      <c r="AJ355" s="316">
        <f t="shared" si="84"/>
        <v>1.062</v>
      </c>
      <c r="AK355" s="316">
        <f t="shared" si="85"/>
      </c>
    </row>
    <row r="356" spans="16:37" ht="15">
      <c r="P356" s="312">
        <f t="shared" si="80"/>
        <v>0.6238665517773083</v>
      </c>
      <c r="Q356" s="247">
        <v>351</v>
      </c>
      <c r="R356" s="299">
        <f t="shared" si="86"/>
        <v>0.009000000000000001</v>
      </c>
      <c r="S356" s="250">
        <f t="shared" si="87"/>
        <v>1.062</v>
      </c>
      <c r="AA356" s="316">
        <f t="shared" si="75"/>
      </c>
      <c r="AB356" s="316">
        <f t="shared" si="76"/>
      </c>
      <c r="AC356" s="316">
        <f t="shared" si="77"/>
      </c>
      <c r="AD356" s="316">
        <f t="shared" si="78"/>
        <v>0.009000000000000001</v>
      </c>
      <c r="AE356" s="316">
        <f t="shared" si="79"/>
      </c>
      <c r="AG356" s="316">
        <f t="shared" si="81"/>
      </c>
      <c r="AH356" s="316">
        <f t="shared" si="82"/>
      </c>
      <c r="AI356" s="316">
        <f t="shared" si="83"/>
      </c>
      <c r="AJ356" s="316">
        <f t="shared" si="84"/>
        <v>1.062</v>
      </c>
      <c r="AK356" s="316">
        <f t="shared" si="85"/>
      </c>
    </row>
    <row r="357" spans="16:37" ht="15">
      <c r="P357" s="312">
        <f t="shared" si="80"/>
        <v>0.6291535564533872</v>
      </c>
      <c r="Q357" s="247">
        <v>352</v>
      </c>
      <c r="R357" s="299">
        <f t="shared" si="86"/>
        <v>0.009000000000000001</v>
      </c>
      <c r="S357" s="250">
        <f t="shared" si="87"/>
        <v>1.062</v>
      </c>
      <c r="AA357" s="316">
        <f t="shared" si="75"/>
      </c>
      <c r="AB357" s="316">
        <f t="shared" si="76"/>
      </c>
      <c r="AC357" s="316">
        <f t="shared" si="77"/>
      </c>
      <c r="AD357" s="316">
        <f t="shared" si="78"/>
        <v>0.009000000000000001</v>
      </c>
      <c r="AE357" s="316">
        <f t="shared" si="79"/>
      </c>
      <c r="AG357" s="316">
        <f t="shared" si="81"/>
      </c>
      <c r="AH357" s="316">
        <f t="shared" si="82"/>
      </c>
      <c r="AI357" s="316">
        <f t="shared" si="83"/>
      </c>
      <c r="AJ357" s="316">
        <f t="shared" si="84"/>
        <v>1.062</v>
      </c>
      <c r="AK357" s="316">
        <f t="shared" si="85"/>
      </c>
    </row>
    <row r="358" spans="16:37" ht="15">
      <c r="P358" s="312">
        <f t="shared" si="80"/>
        <v>0.6344853662538397</v>
      </c>
      <c r="Q358" s="247">
        <v>353</v>
      </c>
      <c r="R358" s="299">
        <f t="shared" si="86"/>
        <v>0.009000000000000001</v>
      </c>
      <c r="S358" s="250">
        <f t="shared" si="87"/>
        <v>1.062</v>
      </c>
      <c r="AA358" s="316">
        <f t="shared" si="75"/>
      </c>
      <c r="AB358" s="316">
        <f t="shared" si="76"/>
      </c>
      <c r="AC358" s="316">
        <f t="shared" si="77"/>
      </c>
      <c r="AD358" s="316">
        <f t="shared" si="78"/>
        <v>0.009000000000000001</v>
      </c>
      <c r="AE358" s="316">
        <f t="shared" si="79"/>
      </c>
      <c r="AG358" s="316">
        <f t="shared" si="81"/>
      </c>
      <c r="AH358" s="316">
        <f t="shared" si="82"/>
      </c>
      <c r="AI358" s="316">
        <f t="shared" si="83"/>
      </c>
      <c r="AJ358" s="316">
        <f t="shared" si="84"/>
        <v>1.062</v>
      </c>
      <c r="AK358" s="316">
        <f t="shared" si="85"/>
      </c>
    </row>
    <row r="359" spans="16:37" ht="15">
      <c r="P359" s="312">
        <f t="shared" si="80"/>
        <v>0.6398623608831095</v>
      </c>
      <c r="Q359" s="247">
        <v>354</v>
      </c>
      <c r="R359" s="299">
        <f t="shared" si="86"/>
        <v>0.009000000000000001</v>
      </c>
      <c r="S359" s="250">
        <f t="shared" si="87"/>
        <v>1.062</v>
      </c>
      <c r="AA359" s="316">
        <f t="shared" si="75"/>
      </c>
      <c r="AB359" s="316">
        <f t="shared" si="76"/>
      </c>
      <c r="AC359" s="316">
        <f t="shared" si="77"/>
      </c>
      <c r="AD359" s="316">
        <f t="shared" si="78"/>
        <v>0.009000000000000001</v>
      </c>
      <c r="AE359" s="316">
        <f t="shared" si="79"/>
      </c>
      <c r="AG359" s="316">
        <f t="shared" si="81"/>
      </c>
      <c r="AH359" s="316">
        <f t="shared" si="82"/>
      </c>
      <c r="AI359" s="316">
        <f t="shared" si="83"/>
      </c>
      <c r="AJ359" s="316">
        <f t="shared" si="84"/>
        <v>1.062</v>
      </c>
      <c r="AK359" s="316">
        <f t="shared" si="85"/>
      </c>
    </row>
    <row r="360" spans="16:37" ht="15">
      <c r="P360" s="312">
        <f t="shared" si="80"/>
        <v>0.6452849232634749</v>
      </c>
      <c r="Q360" s="247">
        <v>355</v>
      </c>
      <c r="R360" s="299">
        <f t="shared" si="86"/>
        <v>0.009000000000000001</v>
      </c>
      <c r="S360" s="250">
        <f t="shared" si="87"/>
        <v>1.062</v>
      </c>
      <c r="AA360" s="316">
        <f t="shared" si="75"/>
      </c>
      <c r="AB360" s="316">
        <f t="shared" si="76"/>
      </c>
      <c r="AC360" s="316">
        <f t="shared" si="77"/>
      </c>
      <c r="AD360" s="316">
        <f t="shared" si="78"/>
        <v>0.009000000000000001</v>
      </c>
      <c r="AE360" s="316">
        <f t="shared" si="79"/>
      </c>
      <c r="AG360" s="316">
        <f t="shared" si="81"/>
      </c>
      <c r="AH360" s="316">
        <f t="shared" si="82"/>
      </c>
      <c r="AI360" s="316">
        <f t="shared" si="83"/>
      </c>
      <c r="AJ360" s="316">
        <f t="shared" si="84"/>
        <v>1.062</v>
      </c>
      <c r="AK360" s="316">
        <f t="shared" si="85"/>
      </c>
    </row>
    <row r="361" spans="16:37" ht="15">
      <c r="P361" s="312">
        <f t="shared" si="80"/>
        <v>0.6507534395623179</v>
      </c>
      <c r="Q361" s="247">
        <v>356</v>
      </c>
      <c r="R361" s="299">
        <f t="shared" si="86"/>
        <v>0.009000000000000001</v>
      </c>
      <c r="S361" s="250">
        <f t="shared" si="87"/>
        <v>1.062</v>
      </c>
      <c r="AA361" s="316">
        <f t="shared" si="75"/>
      </c>
      <c r="AB361" s="316">
        <f t="shared" si="76"/>
      </c>
      <c r="AC361" s="316">
        <f t="shared" si="77"/>
      </c>
      <c r="AD361" s="316">
        <f t="shared" si="78"/>
        <v>0.009000000000000001</v>
      </c>
      <c r="AE361" s="316">
        <f t="shared" si="79"/>
      </c>
      <c r="AG361" s="316">
        <f t="shared" si="81"/>
      </c>
      <c r="AH361" s="316">
        <f t="shared" si="82"/>
      </c>
      <c r="AI361" s="316">
        <f t="shared" si="83"/>
      </c>
      <c r="AJ361" s="316">
        <f t="shared" si="84"/>
        <v>1.062</v>
      </c>
      <c r="AK361" s="316">
        <f t="shared" si="85"/>
      </c>
    </row>
    <row r="362" spans="16:37" ht="15">
      <c r="P362" s="312">
        <f t="shared" si="80"/>
        <v>0.6562682992196257</v>
      </c>
      <c r="Q362" s="247">
        <v>357</v>
      </c>
      <c r="R362" s="299">
        <f t="shared" si="86"/>
        <v>0.009000000000000001</v>
      </c>
      <c r="S362" s="250">
        <f t="shared" si="87"/>
        <v>1.062</v>
      </c>
      <c r="AA362" s="316">
        <f t="shared" si="75"/>
      </c>
      <c r="AB362" s="316">
        <f t="shared" si="76"/>
      </c>
      <c r="AC362" s="316">
        <f t="shared" si="77"/>
      </c>
      <c r="AD362" s="316">
        <f t="shared" si="78"/>
        <v>0.009000000000000001</v>
      </c>
      <c r="AE362" s="316">
        <f t="shared" si="79"/>
      </c>
      <c r="AG362" s="316">
        <f t="shared" si="81"/>
      </c>
      <c r="AH362" s="316">
        <f t="shared" si="82"/>
      </c>
      <c r="AI362" s="316">
        <f t="shared" si="83"/>
      </c>
      <c r="AJ362" s="316">
        <f t="shared" si="84"/>
        <v>1.062</v>
      </c>
      <c r="AK362" s="316">
        <f t="shared" si="85"/>
      </c>
    </row>
    <row r="363" spans="16:37" ht="15">
      <c r="P363" s="312">
        <f t="shared" si="80"/>
        <v>0.6618298949757242</v>
      </c>
      <c r="Q363" s="247">
        <v>358</v>
      </c>
      <c r="R363" s="299">
        <f t="shared" si="86"/>
        <v>0.009000000000000001</v>
      </c>
      <c r="S363" s="250">
        <f t="shared" si="87"/>
        <v>1.062</v>
      </c>
      <c r="AA363" s="316">
        <f t="shared" si="75"/>
      </c>
      <c r="AB363" s="316">
        <f t="shared" si="76"/>
      </c>
      <c r="AC363" s="316">
        <f t="shared" si="77"/>
      </c>
      <c r="AD363" s="316">
        <f t="shared" si="78"/>
        <v>0.009000000000000001</v>
      </c>
      <c r="AE363" s="316">
        <f t="shared" si="79"/>
      </c>
      <c r="AG363" s="316">
        <f t="shared" si="81"/>
      </c>
      <c r="AH363" s="316">
        <f t="shared" si="82"/>
      </c>
      <c r="AI363" s="316">
        <f t="shared" si="83"/>
      </c>
      <c r="AJ363" s="316">
        <f t="shared" si="84"/>
        <v>1.062</v>
      </c>
      <c r="AK363" s="316">
        <f t="shared" si="85"/>
      </c>
    </row>
    <row r="364" spans="16:37" ht="15">
      <c r="P364" s="312">
        <f t="shared" si="80"/>
        <v>0.6674386228992473</v>
      </c>
      <c r="Q364" s="247">
        <v>359</v>
      </c>
      <c r="R364" s="299">
        <f t="shared" si="86"/>
        <v>0.009000000000000001</v>
      </c>
      <c r="S364" s="250">
        <f t="shared" si="87"/>
        <v>1.062</v>
      </c>
      <c r="AA364" s="316">
        <f t="shared" si="75"/>
      </c>
      <c r="AB364" s="316">
        <f t="shared" si="76"/>
      </c>
      <c r="AC364" s="316">
        <f t="shared" si="77"/>
      </c>
      <c r="AD364" s="316">
        <f t="shared" si="78"/>
        <v>0.009000000000000001</v>
      </c>
      <c r="AE364" s="316">
        <f t="shared" si="79"/>
      </c>
      <c r="AG364" s="316">
        <f t="shared" si="81"/>
      </c>
      <c r="AH364" s="316">
        <f t="shared" si="82"/>
      </c>
      <c r="AI364" s="316">
        <f t="shared" si="83"/>
      </c>
      <c r="AJ364" s="316">
        <f t="shared" si="84"/>
        <v>1.062</v>
      </c>
      <c r="AK364" s="316">
        <f t="shared" si="85"/>
      </c>
    </row>
    <row r="365" spans="16:37" ht="15">
      <c r="P365" s="312">
        <f t="shared" si="80"/>
        <v>0.6730948824153425</v>
      </c>
      <c r="Q365" s="247">
        <v>360</v>
      </c>
      <c r="R365" s="299">
        <f t="shared" si="86"/>
        <v>0.009000000000000001</v>
      </c>
      <c r="S365" s="250">
        <f t="shared" si="87"/>
        <v>1.062</v>
      </c>
      <c r="AA365" s="316">
        <f t="shared" si="75"/>
      </c>
      <c r="AB365" s="316">
        <f t="shared" si="76"/>
      </c>
      <c r="AC365" s="316">
        <f t="shared" si="77"/>
      </c>
      <c r="AD365" s="316">
        <f t="shared" si="78"/>
        <v>0.009000000000000001</v>
      </c>
      <c r="AE365" s="316">
        <f t="shared" si="79"/>
      </c>
      <c r="AG365" s="316">
        <f t="shared" si="81"/>
      </c>
      <c r="AH365" s="316">
        <f t="shared" si="82"/>
      </c>
      <c r="AI365" s="316">
        <f t="shared" si="83"/>
      </c>
      <c r="AJ365" s="316">
        <f t="shared" si="84"/>
        <v>1.062</v>
      </c>
      <c r="AK365" s="316">
        <f t="shared" si="85"/>
      </c>
    </row>
    <row r="366" spans="16:37" ht="15">
      <c r="P366" s="312">
        <f t="shared" si="80"/>
        <v>0.6787990763341166</v>
      </c>
      <c r="Q366" s="247">
        <v>361</v>
      </c>
      <c r="R366" s="299">
        <f t="shared" si="86"/>
        <v>0.009000000000000001</v>
      </c>
      <c r="S366" s="250">
        <f t="shared" si="87"/>
        <v>1.062</v>
      </c>
      <c r="AA366" s="316">
        <f t="shared" si="75"/>
      </c>
      <c r="AB366" s="316">
        <f t="shared" si="76"/>
      </c>
      <c r="AC366" s="316">
        <f t="shared" si="77"/>
      </c>
      <c r="AD366" s="316">
        <f t="shared" si="78"/>
        <v>0.009000000000000001</v>
      </c>
      <c r="AE366" s="316">
        <f t="shared" si="79"/>
      </c>
      <c r="AG366" s="316">
        <f t="shared" si="81"/>
      </c>
      <c r="AH366" s="316">
        <f t="shared" si="82"/>
      </c>
      <c r="AI366" s="316">
        <f t="shared" si="83"/>
      </c>
      <c r="AJ366" s="316">
        <f t="shared" si="84"/>
        <v>1.062</v>
      </c>
      <c r="AK366" s="316">
        <f t="shared" si="85"/>
      </c>
    </row>
    <row r="367" spans="16:37" ht="15">
      <c r="P367" s="312">
        <f t="shared" si="80"/>
        <v>0.684551610879321</v>
      </c>
      <c r="Q367" s="247">
        <v>362</v>
      </c>
      <c r="R367" s="299">
        <f t="shared" si="86"/>
        <v>0.009000000000000001</v>
      </c>
      <c r="S367" s="250">
        <f t="shared" si="87"/>
        <v>1.062</v>
      </c>
      <c r="AA367" s="316">
        <f t="shared" si="75"/>
      </c>
      <c r="AB367" s="316">
        <f t="shared" si="76"/>
      </c>
      <c r="AC367" s="316">
        <f t="shared" si="77"/>
      </c>
      <c r="AD367" s="316">
        <f t="shared" si="78"/>
        <v>0.009000000000000001</v>
      </c>
      <c r="AE367" s="316">
        <f t="shared" si="79"/>
      </c>
      <c r="AG367" s="316">
        <f t="shared" si="81"/>
      </c>
      <c r="AH367" s="316">
        <f t="shared" si="82"/>
      </c>
      <c r="AI367" s="316">
        <f t="shared" si="83"/>
      </c>
      <c r="AJ367" s="316">
        <f t="shared" si="84"/>
        <v>1.062</v>
      </c>
      <c r="AK367" s="316">
        <f t="shared" si="85"/>
      </c>
    </row>
    <row r="368" spans="16:37" ht="15">
      <c r="P368" s="312">
        <f t="shared" si="80"/>
        <v>0.6903528957172814</v>
      </c>
      <c r="Q368" s="247">
        <v>363</v>
      </c>
      <c r="R368" s="299">
        <f t="shared" si="86"/>
        <v>0.009000000000000001</v>
      </c>
      <c r="S368" s="250">
        <f t="shared" si="87"/>
        <v>1.062</v>
      </c>
      <c r="AA368" s="316">
        <f t="shared" si="75"/>
      </c>
      <c r="AB368" s="316">
        <f t="shared" si="76"/>
      </c>
      <c r="AC368" s="316">
        <f t="shared" si="77"/>
      </c>
      <c r="AD368" s="316">
        <f t="shared" si="78"/>
        <v>0.009000000000000001</v>
      </c>
      <c r="AE368" s="316">
        <f t="shared" si="79"/>
      </c>
      <c r="AG368" s="316">
        <f t="shared" si="81"/>
      </c>
      <c r="AH368" s="316">
        <f t="shared" si="82"/>
      </c>
      <c r="AI368" s="316">
        <f t="shared" si="83"/>
      </c>
      <c r="AJ368" s="316">
        <f t="shared" si="84"/>
        <v>1.062</v>
      </c>
      <c r="AK368" s="316">
        <f t="shared" si="85"/>
      </c>
    </row>
    <row r="369" spans="16:37" ht="15">
      <c r="P369" s="312">
        <f t="shared" si="80"/>
        <v>0.696203343986072</v>
      </c>
      <c r="Q369" s="247">
        <v>364</v>
      </c>
      <c r="R369" s="299">
        <f t="shared" si="86"/>
        <v>0.009000000000000001</v>
      </c>
      <c r="S369" s="250">
        <f t="shared" si="87"/>
        <v>1.062</v>
      </c>
      <c r="AA369" s="316">
        <f t="shared" si="75"/>
      </c>
      <c r="AB369" s="316">
        <f t="shared" si="76"/>
      </c>
      <c r="AC369" s="316">
        <f t="shared" si="77"/>
      </c>
      <c r="AD369" s="316">
        <f t="shared" si="78"/>
        <v>0.009000000000000001</v>
      </c>
      <c r="AE369" s="316">
        <f t="shared" si="79"/>
      </c>
      <c r="AG369" s="316">
        <f t="shared" si="81"/>
      </c>
      <c r="AH369" s="316">
        <f t="shared" si="82"/>
      </c>
      <c r="AI369" s="316">
        <f t="shared" si="83"/>
      </c>
      <c r="AJ369" s="316">
        <f t="shared" si="84"/>
        <v>1.062</v>
      </c>
      <c r="AK369" s="316">
        <f t="shared" si="85"/>
      </c>
    </row>
    <row r="370" spans="16:37" ht="15">
      <c r="P370" s="312">
        <f t="shared" si="80"/>
        <v>0.702103372324937</v>
      </c>
      <c r="Q370" s="247">
        <v>365</v>
      </c>
      <c r="R370" s="299">
        <f t="shared" si="86"/>
        <v>0.009000000000000001</v>
      </c>
      <c r="S370" s="250">
        <f t="shared" si="87"/>
        <v>1.062</v>
      </c>
      <c r="AA370" s="316">
        <f t="shared" si="75"/>
      </c>
      <c r="AB370" s="316">
        <f t="shared" si="76"/>
      </c>
      <c r="AC370" s="316">
        <f t="shared" si="77"/>
      </c>
      <c r="AD370" s="316">
        <f t="shared" si="78"/>
        <v>0.009000000000000001</v>
      </c>
      <c r="AE370" s="316">
        <f t="shared" si="79"/>
      </c>
      <c r="AG370" s="316">
        <f t="shared" si="81"/>
      </c>
      <c r="AH370" s="316">
        <f t="shared" si="82"/>
      </c>
      <c r="AI370" s="316">
        <f t="shared" si="83"/>
      </c>
      <c r="AJ370" s="316">
        <f t="shared" si="84"/>
        <v>1.062</v>
      </c>
      <c r="AK370" s="316">
        <f t="shared" si="85"/>
      </c>
    </row>
    <row r="371" spans="16:37" ht="15">
      <c r="P371" s="312">
        <f t="shared" si="80"/>
        <v>0.708053400903962</v>
      </c>
      <c r="Q371" s="247">
        <v>366</v>
      </c>
      <c r="R371" s="299">
        <f t="shared" si="86"/>
        <v>0.009000000000000001</v>
      </c>
      <c r="S371" s="250">
        <f t="shared" si="87"/>
        <v>1.062</v>
      </c>
      <c r="AA371" s="316">
        <f t="shared" si="75"/>
      </c>
      <c r="AB371" s="316">
        <f t="shared" si="76"/>
      </c>
      <c r="AC371" s="316">
        <f t="shared" si="77"/>
      </c>
      <c r="AD371" s="316">
        <f t="shared" si="78"/>
        <v>0.009000000000000001</v>
      </c>
      <c r="AE371" s="316">
        <f t="shared" si="79"/>
      </c>
      <c r="AG371" s="316">
        <f t="shared" si="81"/>
      </c>
      <c r="AH371" s="316">
        <f t="shared" si="82"/>
      </c>
      <c r="AI371" s="316">
        <f t="shared" si="83"/>
      </c>
      <c r="AJ371" s="316">
        <f t="shared" si="84"/>
        <v>1.062</v>
      </c>
      <c r="AK371" s="316">
        <f t="shared" si="85"/>
      </c>
    </row>
    <row r="372" spans="16:37" ht="15">
      <c r="P372" s="312">
        <f t="shared" si="80"/>
        <v>0.7140538534539955</v>
      </c>
      <c r="Q372" s="247">
        <v>367</v>
      </c>
      <c r="R372" s="299">
        <f t="shared" si="86"/>
        <v>0.009000000000000001</v>
      </c>
      <c r="S372" s="250">
        <f t="shared" si="87"/>
        <v>1.062</v>
      </c>
      <c r="AA372" s="316">
        <f t="shared" si="75"/>
      </c>
      <c r="AB372" s="316">
        <f t="shared" si="76"/>
      </c>
      <c r="AC372" s="316">
        <f t="shared" si="77"/>
      </c>
      <c r="AD372" s="316">
        <f t="shared" si="78"/>
        <v>0.009000000000000001</v>
      </c>
      <c r="AE372" s="316">
        <f t="shared" si="79"/>
      </c>
      <c r="AG372" s="316">
        <f t="shared" si="81"/>
      </c>
      <c r="AH372" s="316">
        <f t="shared" si="82"/>
      </c>
      <c r="AI372" s="316">
        <f t="shared" si="83"/>
      </c>
      <c r="AJ372" s="316">
        <f t="shared" si="84"/>
        <v>1.062</v>
      </c>
      <c r="AK372" s="316">
        <f t="shared" si="85"/>
      </c>
    </row>
    <row r="373" spans="16:37" ht="15">
      <c r="P373" s="312">
        <f t="shared" si="80"/>
        <v>0.720105157296826</v>
      </c>
      <c r="Q373" s="247">
        <v>368</v>
      </c>
      <c r="R373" s="299">
        <f t="shared" si="86"/>
        <v>0.009000000000000001</v>
      </c>
      <c r="S373" s="250">
        <f t="shared" si="87"/>
        <v>1.062</v>
      </c>
      <c r="AA373" s="316">
        <f t="shared" si="75"/>
      </c>
      <c r="AB373" s="316">
        <f t="shared" si="76"/>
      </c>
      <c r="AC373" s="316">
        <f t="shared" si="77"/>
      </c>
      <c r="AD373" s="316">
        <f t="shared" si="78"/>
        <v>0.009000000000000001</v>
      </c>
      <c r="AE373" s="316">
        <f t="shared" si="79"/>
      </c>
      <c r="AG373" s="316">
        <f t="shared" si="81"/>
      </c>
      <c r="AH373" s="316">
        <f t="shared" si="82"/>
      </c>
      <c r="AI373" s="316">
        <f t="shared" si="83"/>
      </c>
      <c r="AJ373" s="316">
        <f t="shared" si="84"/>
        <v>1.062</v>
      </c>
      <c r="AK373" s="316">
        <f t="shared" si="85"/>
      </c>
    </row>
    <row r="374" spans="16:37" ht="15">
      <c r="P374" s="312">
        <f t="shared" si="80"/>
        <v>0.7262077433756127</v>
      </c>
      <c r="Q374" s="247">
        <v>369</v>
      </c>
      <c r="R374" s="299">
        <f t="shared" si="86"/>
        <v>0.009000000000000001</v>
      </c>
      <c r="S374" s="250">
        <f t="shared" si="87"/>
        <v>1.062</v>
      </c>
      <c r="AA374" s="316">
        <f t="shared" si="75"/>
      </c>
      <c r="AB374" s="316">
        <f t="shared" si="76"/>
      </c>
      <c r="AC374" s="316">
        <f t="shared" si="77"/>
      </c>
      <c r="AD374" s="316">
        <f t="shared" si="78"/>
        <v>0.009000000000000001</v>
      </c>
      <c r="AE374" s="316">
        <f t="shared" si="79"/>
      </c>
      <c r="AG374" s="316">
        <f t="shared" si="81"/>
      </c>
      <c r="AH374" s="316">
        <f t="shared" si="82"/>
      </c>
      <c r="AI374" s="316">
        <f t="shared" si="83"/>
      </c>
      <c r="AJ374" s="316">
        <f t="shared" si="84"/>
        <v>1.062</v>
      </c>
      <c r="AK374" s="316">
        <f t="shared" si="85"/>
      </c>
    </row>
    <row r="375" spans="16:37" ht="15">
      <c r="P375" s="312">
        <f t="shared" si="80"/>
        <v>0.7323620462855754</v>
      </c>
      <c r="Q375" s="247">
        <v>370</v>
      </c>
      <c r="R375" s="299">
        <f t="shared" si="86"/>
        <v>0.009000000000000001</v>
      </c>
      <c r="S375" s="250">
        <f t="shared" si="87"/>
        <v>1.062</v>
      </c>
      <c r="AA375" s="316">
        <f t="shared" si="75"/>
      </c>
      <c r="AB375" s="316">
        <f t="shared" si="76"/>
      </c>
      <c r="AC375" s="316">
        <f t="shared" si="77"/>
      </c>
      <c r="AD375" s="316">
        <f t="shared" si="78"/>
        <v>0.009000000000000001</v>
      </c>
      <c r="AE375" s="316">
        <f t="shared" si="79"/>
      </c>
      <c r="AG375" s="316">
        <f t="shared" si="81"/>
      </c>
      <c r="AH375" s="316">
        <f t="shared" si="82"/>
      </c>
      <c r="AI375" s="316">
        <f t="shared" si="83"/>
      </c>
      <c r="AJ375" s="316">
        <f t="shared" si="84"/>
        <v>1.062</v>
      </c>
      <c r="AK375" s="316">
        <f t="shared" si="85"/>
      </c>
    </row>
    <row r="376" spans="16:37" ht="15">
      <c r="P376" s="312">
        <f t="shared" si="80"/>
        <v>0.7385685043049447</v>
      </c>
      <c r="Q376" s="247">
        <v>371</v>
      </c>
      <c r="R376" s="299">
        <f t="shared" si="86"/>
        <v>0.009000000000000001</v>
      </c>
      <c r="S376" s="250">
        <f t="shared" si="87"/>
        <v>1.062</v>
      </c>
      <c r="AA376" s="316">
        <f t="shared" si="75"/>
      </c>
      <c r="AB376" s="316">
        <f t="shared" si="76"/>
      </c>
      <c r="AC376" s="316">
        <f t="shared" si="77"/>
      </c>
      <c r="AD376" s="316">
        <f t="shared" si="78"/>
        <v>0.009000000000000001</v>
      </c>
      <c r="AE376" s="316">
        <f t="shared" si="79"/>
      </c>
      <c r="AG376" s="316">
        <f t="shared" si="81"/>
      </c>
      <c r="AH376" s="316">
        <f t="shared" si="82"/>
      </c>
      <c r="AI376" s="316">
        <f t="shared" si="83"/>
      </c>
      <c r="AJ376" s="316">
        <f t="shared" si="84"/>
        <v>1.062</v>
      </c>
      <c r="AK376" s="316">
        <f t="shared" si="85"/>
      </c>
    </row>
    <row r="377" spans="16:37" ht="15">
      <c r="P377" s="312">
        <f t="shared" si="80"/>
        <v>0.7448275594261731</v>
      </c>
      <c r="Q377" s="247">
        <v>372</v>
      </c>
      <c r="R377" s="299">
        <f t="shared" si="86"/>
        <v>0.009000000000000001</v>
      </c>
      <c r="S377" s="250">
        <f t="shared" si="87"/>
        <v>1.062</v>
      </c>
      <c r="AA377" s="316">
        <f t="shared" si="75"/>
      </c>
      <c r="AB377" s="316">
        <f t="shared" si="76"/>
      </c>
      <c r="AC377" s="316">
        <f t="shared" si="77"/>
      </c>
      <c r="AD377" s="316">
        <f t="shared" si="78"/>
        <v>0.009000000000000001</v>
      </c>
      <c r="AE377" s="316">
        <f t="shared" si="79"/>
      </c>
      <c r="AG377" s="316">
        <f t="shared" si="81"/>
      </c>
      <c r="AH377" s="316">
        <f t="shared" si="82"/>
      </c>
      <c r="AI377" s="316">
        <f t="shared" si="83"/>
      </c>
      <c r="AJ377" s="316">
        <f t="shared" si="84"/>
        <v>1.062</v>
      </c>
      <c r="AK377" s="316">
        <f t="shared" si="85"/>
      </c>
    </row>
    <row r="378" spans="16:37" ht="15">
      <c r="P378" s="312">
        <f t="shared" si="80"/>
        <v>0.7511396573874118</v>
      </c>
      <c r="Q378" s="247">
        <v>373</v>
      </c>
      <c r="R378" s="299">
        <f t="shared" si="86"/>
        <v>0.009000000000000001</v>
      </c>
      <c r="S378" s="250">
        <f t="shared" si="87"/>
        <v>1.062</v>
      </c>
      <c r="AA378" s="316">
        <f t="shared" si="75"/>
      </c>
      <c r="AB378" s="316">
        <f t="shared" si="76"/>
      </c>
      <c r="AC378" s="316">
        <f t="shared" si="77"/>
      </c>
      <c r="AD378" s="316">
        <f t="shared" si="78"/>
        <v>0.009000000000000001</v>
      </c>
      <c r="AE378" s="316">
        <f t="shared" si="79"/>
      </c>
      <c r="AG378" s="316">
        <f t="shared" si="81"/>
      </c>
      <c r="AH378" s="316">
        <f t="shared" si="82"/>
      </c>
      <c r="AI378" s="316">
        <f t="shared" si="83"/>
      </c>
      <c r="AJ378" s="316">
        <f t="shared" si="84"/>
        <v>1.062</v>
      </c>
      <c r="AK378" s="316">
        <f t="shared" si="85"/>
      </c>
    </row>
    <row r="379" spans="16:37" ht="15">
      <c r="P379" s="312">
        <f t="shared" si="80"/>
        <v>0.7575052477042543</v>
      </c>
      <c r="Q379" s="247">
        <v>374</v>
      </c>
      <c r="R379" s="299">
        <f t="shared" si="86"/>
        <v>0.009000000000000001</v>
      </c>
      <c r="S379" s="250">
        <f t="shared" si="87"/>
        <v>1.062</v>
      </c>
      <c r="AA379" s="316">
        <f t="shared" si="75"/>
      </c>
      <c r="AB379" s="316">
        <f t="shared" si="76"/>
      </c>
      <c r="AC379" s="316">
        <f t="shared" si="77"/>
      </c>
      <c r="AD379" s="316">
        <f t="shared" si="78"/>
        <v>0.009000000000000001</v>
      </c>
      <c r="AE379" s="316">
        <f t="shared" si="79"/>
      </c>
      <c r="AG379" s="316">
        <f t="shared" si="81"/>
      </c>
      <c r="AH379" s="316">
        <f t="shared" si="82"/>
      </c>
      <c r="AI379" s="316">
        <f t="shared" si="83"/>
      </c>
      <c r="AJ379" s="316">
        <f t="shared" si="84"/>
        <v>1.062</v>
      </c>
      <c r="AK379" s="316">
        <f t="shared" si="85"/>
      </c>
    </row>
    <row r="380" spans="16:37" ht="15">
      <c r="P380" s="312">
        <f t="shared" si="80"/>
        <v>0.763924783701748</v>
      </c>
      <c r="Q380" s="247">
        <v>375</v>
      </c>
      <c r="R380" s="299">
        <f t="shared" si="86"/>
        <v>0.009000000000000001</v>
      </c>
      <c r="S380" s="250">
        <f t="shared" si="87"/>
        <v>1.062</v>
      </c>
      <c r="AA380" s="316">
        <f t="shared" si="75"/>
      </c>
      <c r="AB380" s="316">
        <f t="shared" si="76"/>
      </c>
      <c r="AC380" s="316">
        <f t="shared" si="77"/>
      </c>
      <c r="AD380" s="316">
        <f t="shared" si="78"/>
        <v>0.009000000000000001</v>
      </c>
      <c r="AE380" s="316">
        <f t="shared" si="79"/>
      </c>
      <c r="AG380" s="316">
        <f t="shared" si="81"/>
      </c>
      <c r="AH380" s="316">
        <f t="shared" si="82"/>
      </c>
      <c r="AI380" s="316">
        <f t="shared" si="83"/>
      </c>
      <c r="AJ380" s="316">
        <f t="shared" si="84"/>
        <v>1.062</v>
      </c>
      <c r="AK380" s="316">
        <f t="shared" si="85"/>
      </c>
    </row>
    <row r="381" spans="16:37" ht="15">
      <c r="P381" s="312">
        <f t="shared" si="80"/>
        <v>0.7703987225466781</v>
      </c>
      <c r="Q381" s="247">
        <v>376</v>
      </c>
      <c r="R381" s="299">
        <f t="shared" si="86"/>
        <v>0.009000000000000001</v>
      </c>
      <c r="S381" s="250">
        <f t="shared" si="87"/>
        <v>1.062</v>
      </c>
      <c r="AA381" s="316">
        <f t="shared" si="75"/>
      </c>
      <c r="AB381" s="316">
        <f t="shared" si="76"/>
      </c>
      <c r="AC381" s="316">
        <f t="shared" si="77"/>
      </c>
      <c r="AD381" s="316">
        <f t="shared" si="78"/>
        <v>0.009000000000000001</v>
      </c>
      <c r="AE381" s="316">
        <f t="shared" si="79"/>
      </c>
      <c r="AG381" s="316">
        <f t="shared" si="81"/>
      </c>
      <c r="AH381" s="316">
        <f t="shared" si="82"/>
      </c>
      <c r="AI381" s="316">
        <f t="shared" si="83"/>
      </c>
      <c r="AJ381" s="316">
        <f t="shared" si="84"/>
        <v>1.062</v>
      </c>
      <c r="AK381" s="316">
        <f t="shared" si="85"/>
      </c>
    </row>
    <row r="382" spans="16:37" ht="15">
      <c r="P382" s="312">
        <f t="shared" si="80"/>
        <v>0.7769275252801245</v>
      </c>
      <c r="Q382" s="247">
        <v>377</v>
      </c>
      <c r="R382" s="299">
        <f t="shared" si="86"/>
        <v>0.009000000000000001</v>
      </c>
      <c r="S382" s="250">
        <f t="shared" si="87"/>
        <v>1.062</v>
      </c>
      <c r="AA382" s="316">
        <f t="shared" si="75"/>
      </c>
      <c r="AB382" s="316">
        <f t="shared" si="76"/>
      </c>
      <c r="AC382" s="316">
        <f t="shared" si="77"/>
      </c>
      <c r="AD382" s="316">
        <f t="shared" si="78"/>
        <v>0.009000000000000001</v>
      </c>
      <c r="AE382" s="316">
        <f t="shared" si="79"/>
      </c>
      <c r="AG382" s="316">
        <f t="shared" si="81"/>
      </c>
      <c r="AH382" s="316">
        <f t="shared" si="82"/>
      </c>
      <c r="AI382" s="316">
        <f t="shared" si="83"/>
      </c>
      <c r="AJ382" s="316">
        <f t="shared" si="84"/>
        <v>1.062</v>
      </c>
      <c r="AK382" s="316">
        <f t="shared" si="85"/>
      </c>
    </row>
    <row r="383" spans="16:37" ht="15">
      <c r="P383" s="312">
        <f t="shared" si="80"/>
        <v>0.7835116568502951</v>
      </c>
      <c r="Q383" s="247">
        <v>378</v>
      </c>
      <c r="R383" s="299">
        <f t="shared" si="86"/>
        <v>0.009000000000000001</v>
      </c>
      <c r="S383" s="250">
        <f t="shared" si="87"/>
        <v>1.062</v>
      </c>
      <c r="AA383" s="316">
        <f t="shared" si="75"/>
      </c>
      <c r="AB383" s="316">
        <f t="shared" si="76"/>
      </c>
      <c r="AC383" s="316">
        <f t="shared" si="77"/>
      </c>
      <c r="AD383" s="316">
        <f t="shared" si="78"/>
        <v>0.009000000000000001</v>
      </c>
      <c r="AE383" s="316">
        <f t="shared" si="79"/>
      </c>
      <c r="AG383" s="316">
        <f t="shared" si="81"/>
      </c>
      <c r="AH383" s="316">
        <f t="shared" si="82"/>
      </c>
      <c r="AI383" s="316">
        <f t="shared" si="83"/>
      </c>
      <c r="AJ383" s="316">
        <f t="shared" si="84"/>
        <v>1.062</v>
      </c>
      <c r="AK383" s="316">
        <f t="shared" si="85"/>
      </c>
    </row>
    <row r="384" spans="16:37" ht="15">
      <c r="P384" s="312">
        <f t="shared" si="80"/>
        <v>0.7901515861456366</v>
      </c>
      <c r="Q384" s="247">
        <v>379</v>
      </c>
      <c r="R384" s="299">
        <f t="shared" si="86"/>
        <v>0.009000000000000001</v>
      </c>
      <c r="S384" s="250">
        <f t="shared" si="87"/>
        <v>1.062</v>
      </c>
      <c r="AA384" s="316">
        <f t="shared" si="75"/>
      </c>
      <c r="AB384" s="316">
        <f t="shared" si="76"/>
      </c>
      <c r="AC384" s="316">
        <f t="shared" si="77"/>
      </c>
      <c r="AD384" s="316">
        <f t="shared" si="78"/>
        <v>0.009000000000000001</v>
      </c>
      <c r="AE384" s="316">
        <f t="shared" si="79"/>
      </c>
      <c r="AG384" s="316">
        <f t="shared" si="81"/>
      </c>
      <c r="AH384" s="316">
        <f t="shared" si="82"/>
      </c>
      <c r="AI384" s="316">
        <f t="shared" si="83"/>
      </c>
      <c r="AJ384" s="316">
        <f t="shared" si="84"/>
        <v>1.062</v>
      </c>
      <c r="AK384" s="316">
        <f t="shared" si="85"/>
      </c>
    </row>
    <row r="385" spans="16:37" ht="15">
      <c r="P385" s="312">
        <f t="shared" si="80"/>
        <v>0.7968477860282268</v>
      </c>
      <c r="Q385" s="247">
        <v>380</v>
      </c>
      <c r="R385" s="299">
        <f t="shared" si="86"/>
        <v>0.009000000000000001</v>
      </c>
      <c r="S385" s="250">
        <f t="shared" si="87"/>
        <v>1.062</v>
      </c>
      <c r="AA385" s="316">
        <f t="shared" si="75"/>
      </c>
      <c r="AB385" s="316">
        <f t="shared" si="76"/>
      </c>
      <c r="AC385" s="316">
        <f t="shared" si="77"/>
      </c>
      <c r="AD385" s="316">
        <f t="shared" si="78"/>
        <v>0.009000000000000001</v>
      </c>
      <c r="AE385" s="316">
        <f t="shared" si="79"/>
      </c>
      <c r="AG385" s="316">
        <f t="shared" si="81"/>
      </c>
      <c r="AH385" s="316">
        <f t="shared" si="82"/>
      </c>
      <c r="AI385" s="316">
        <f t="shared" si="83"/>
      </c>
      <c r="AJ385" s="316">
        <f t="shared" si="84"/>
        <v>1.062</v>
      </c>
      <c r="AK385" s="316">
        <f t="shared" si="85"/>
      </c>
    </row>
    <row r="386" spans="16:37" ht="15">
      <c r="P386" s="312">
        <f t="shared" si="80"/>
        <v>0.8036007333674491</v>
      </c>
      <c r="Q386" s="247">
        <v>381</v>
      </c>
      <c r="R386" s="299">
        <f t="shared" si="86"/>
        <v>0.009000000000000001</v>
      </c>
      <c r="S386" s="250">
        <f t="shared" si="87"/>
        <v>1.062</v>
      </c>
      <c r="AA386" s="316">
        <f t="shared" si="75"/>
      </c>
      <c r="AB386" s="316">
        <f t="shared" si="76"/>
      </c>
      <c r="AC386" s="316">
        <f t="shared" si="77"/>
      </c>
      <c r="AD386" s="316">
        <f t="shared" si="78"/>
        <v>0.009000000000000001</v>
      </c>
      <c r="AE386" s="316">
        <f t="shared" si="79"/>
      </c>
      <c r="AG386" s="316">
        <f t="shared" si="81"/>
      </c>
      <c r="AH386" s="316">
        <f t="shared" si="82"/>
      </c>
      <c r="AI386" s="316">
        <f t="shared" si="83"/>
      </c>
      <c r="AJ386" s="316">
        <f t="shared" si="84"/>
        <v>1.062</v>
      </c>
      <c r="AK386" s="316">
        <f t="shared" si="85"/>
      </c>
    </row>
    <row r="387" spans="16:37" ht="15">
      <c r="P387" s="312">
        <f t="shared" si="80"/>
        <v>0.8104109090739529</v>
      </c>
      <c r="Q387" s="247">
        <v>382</v>
      </c>
      <c r="R387" s="299">
        <f t="shared" si="86"/>
        <v>0.009000000000000001</v>
      </c>
      <c r="S387" s="250">
        <f t="shared" si="87"/>
        <v>1.062</v>
      </c>
      <c r="AA387" s="316">
        <f t="shared" si="75"/>
      </c>
      <c r="AB387" s="316">
        <f t="shared" si="76"/>
      </c>
      <c r="AC387" s="316">
        <f t="shared" si="77"/>
      </c>
      <c r="AD387" s="316">
        <f t="shared" si="78"/>
        <v>0.009000000000000001</v>
      </c>
      <c r="AE387" s="316">
        <f t="shared" si="79"/>
      </c>
      <c r="AG387" s="316">
        <f t="shared" si="81"/>
      </c>
      <c r="AH387" s="316">
        <f t="shared" si="82"/>
      </c>
      <c r="AI387" s="316">
        <f t="shared" si="83"/>
      </c>
      <c r="AJ387" s="316">
        <f t="shared" si="84"/>
        <v>1.062</v>
      </c>
      <c r="AK387" s="316">
        <f t="shared" si="85"/>
      </c>
    </row>
    <row r="388" spans="16:37" ht="15">
      <c r="P388" s="312">
        <f t="shared" si="80"/>
        <v>0.8172787981339016</v>
      </c>
      <c r="Q388" s="247">
        <v>383</v>
      </c>
      <c r="R388" s="299">
        <f t="shared" si="86"/>
        <v>0.009000000000000001</v>
      </c>
      <c r="S388" s="250">
        <f t="shared" si="87"/>
        <v>1.062</v>
      </c>
      <c r="AA388" s="316">
        <f t="shared" si="75"/>
      </c>
      <c r="AB388" s="316">
        <f t="shared" si="76"/>
      </c>
      <c r="AC388" s="316">
        <f t="shared" si="77"/>
      </c>
      <c r="AD388" s="316">
        <f t="shared" si="78"/>
        <v>0.009000000000000001</v>
      </c>
      <c r="AE388" s="316">
        <f t="shared" si="79"/>
      </c>
      <c r="AG388" s="316">
        <f t="shared" si="81"/>
      </c>
      <c r="AH388" s="316">
        <f t="shared" si="82"/>
      </c>
      <c r="AI388" s="316">
        <f t="shared" si="83"/>
      </c>
      <c r="AJ388" s="316">
        <f t="shared" si="84"/>
        <v>1.062</v>
      </c>
      <c r="AK388" s="316">
        <f t="shared" si="85"/>
      </c>
    </row>
    <row r="389" spans="16:37" ht="15">
      <c r="P389" s="312">
        <f t="shared" si="80"/>
        <v>0.8242048896435109</v>
      </c>
      <c r="Q389" s="247">
        <v>384</v>
      </c>
      <c r="R389" s="299">
        <f t="shared" si="86"/>
        <v>0.009000000000000001</v>
      </c>
      <c r="S389" s="250">
        <f t="shared" si="87"/>
        <v>1.062</v>
      </c>
      <c r="AA389" s="316">
        <f t="shared" si="75"/>
      </c>
      <c r="AB389" s="316">
        <f t="shared" si="76"/>
      </c>
      <c r="AC389" s="316">
        <f t="shared" si="77"/>
      </c>
      <c r="AD389" s="316">
        <f t="shared" si="78"/>
        <v>0.009000000000000001</v>
      </c>
      <c r="AE389" s="316">
        <f t="shared" si="79"/>
      </c>
      <c r="AG389" s="316">
        <f t="shared" si="81"/>
      </c>
      <c r="AH389" s="316">
        <f t="shared" si="82"/>
      </c>
      <c r="AI389" s="316">
        <f t="shared" si="83"/>
      </c>
      <c r="AJ389" s="316">
        <f t="shared" si="84"/>
        <v>1.062</v>
      </c>
      <c r="AK389" s="316">
        <f t="shared" si="85"/>
      </c>
    </row>
    <row r="390" spans="16:37" ht="15">
      <c r="P390" s="312">
        <f t="shared" si="80"/>
        <v>0.8311896768438797</v>
      </c>
      <c r="Q390" s="247">
        <v>385</v>
      </c>
      <c r="R390" s="299">
        <f t="shared" si="86"/>
        <v>0.009000000000000001</v>
      </c>
      <c r="S390" s="250">
        <f t="shared" si="87"/>
        <v>1.062</v>
      </c>
      <c r="AA390" s="316">
        <f aca="true" t="shared" si="88" ref="AA390:AA453">IF(P390&gt;=$F$17,IF(P390&lt;$F$18,R390,""),"")</f>
      </c>
      <c r="AB390" s="316">
        <f aca="true" t="shared" si="89" ref="AB390:AB453">IF(P390&gt;=$G$17,IF(P390&lt;$G$18,R390,""),"")</f>
      </c>
      <c r="AC390" s="316">
        <f aca="true" t="shared" si="90" ref="AC390:AC453">IF(P390&gt;=$H$17,IF(P390&lt;$H$18,R390,""),"")</f>
      </c>
      <c r="AD390" s="316">
        <f aca="true" t="shared" si="91" ref="AD390:AD453">IF(P390&gt;=$I$17,IF(P390&lt;$I$18,R390,""),"")</f>
        <v>0.009000000000000001</v>
      </c>
      <c r="AE390" s="316">
        <f aca="true" t="shared" si="92" ref="AE390:AE453">IF(P390&gt;=$J$17,IF(P390&lt;$J$18,R390,""),"")</f>
      </c>
      <c r="AG390" s="316">
        <f t="shared" si="81"/>
      </c>
      <c r="AH390" s="316">
        <f t="shared" si="82"/>
      </c>
      <c r="AI390" s="316">
        <f t="shared" si="83"/>
      </c>
      <c r="AJ390" s="316">
        <f t="shared" si="84"/>
        <v>1.062</v>
      </c>
      <c r="AK390" s="316">
        <f t="shared" si="85"/>
      </c>
    </row>
    <row r="391" spans="16:37" ht="15">
      <c r="P391" s="312">
        <f t="shared" si="80"/>
        <v>0.838233657156116</v>
      </c>
      <c r="Q391" s="247">
        <v>386</v>
      </c>
      <c r="R391" s="299">
        <f t="shared" si="86"/>
        <v>0.009000000000000001</v>
      </c>
      <c r="S391" s="250">
        <f t="shared" si="87"/>
        <v>1.062</v>
      </c>
      <c r="AA391" s="316">
        <f t="shared" si="88"/>
      </c>
      <c r="AB391" s="316">
        <f t="shared" si="89"/>
      </c>
      <c r="AC391" s="316">
        <f t="shared" si="90"/>
      </c>
      <c r="AD391" s="316">
        <f t="shared" si="91"/>
        <v>0.009000000000000001</v>
      </c>
      <c r="AE391" s="316">
        <f t="shared" si="92"/>
      </c>
      <c r="AG391" s="316">
        <f aca="true" t="shared" si="93" ref="AG391:AG454">IF(P391&gt;=$F$17,IF(P391&lt;$F$18,S391,""),"")</f>
      </c>
      <c r="AH391" s="316">
        <f aca="true" t="shared" si="94" ref="AH391:AH454">IF(P391&gt;=$G$17,IF(P391&lt;$G$18,S391,""),"")</f>
      </c>
      <c r="AI391" s="316">
        <f aca="true" t="shared" si="95" ref="AI391:AI454">IF(P391&gt;=$H$17,IF(P391&lt;$H$18,S391,""),"")</f>
      </c>
      <c r="AJ391" s="316">
        <f aca="true" t="shared" si="96" ref="AJ391:AJ454">IF(P391&gt;=$I$17,IF(P391&lt;$I$18,S391,""),"")</f>
        <v>1.062</v>
      </c>
      <c r="AK391" s="316">
        <f aca="true" t="shared" si="97" ref="AK391:AK454">IF(P391&gt;=$J$17,IF(P391&lt;$J$18,S391,""),"")</f>
      </c>
    </row>
    <row r="392" spans="16:37" ht="15">
      <c r="P392" s="312">
        <f t="shared" si="80"/>
        <v>0.845337332216761</v>
      </c>
      <c r="Q392" s="247">
        <v>387</v>
      </c>
      <c r="R392" s="299">
        <f t="shared" si="86"/>
        <v>0.009000000000000001</v>
      </c>
      <c r="S392" s="250">
        <f t="shared" si="87"/>
        <v>1.062</v>
      </c>
      <c r="AA392" s="316">
        <f t="shared" si="88"/>
      </c>
      <c r="AB392" s="316">
        <f t="shared" si="89"/>
      </c>
      <c r="AC392" s="316">
        <f t="shared" si="90"/>
      </c>
      <c r="AD392" s="316">
        <f t="shared" si="91"/>
        <v>0.009000000000000001</v>
      </c>
      <c r="AE392" s="316">
        <f t="shared" si="92"/>
      </c>
      <c r="AG392" s="316">
        <f t="shared" si="93"/>
      </c>
      <c r="AH392" s="316">
        <f t="shared" si="94"/>
      </c>
      <c r="AI392" s="316">
        <f t="shared" si="95"/>
      </c>
      <c r="AJ392" s="316">
        <f t="shared" si="96"/>
        <v>1.062</v>
      </c>
      <c r="AK392" s="316">
        <f t="shared" si="97"/>
      </c>
    </row>
    <row r="393" spans="16:37" ht="15">
      <c r="P393" s="312">
        <f t="shared" si="80"/>
        <v>0.8525012079135132</v>
      </c>
      <c r="Q393" s="247">
        <v>388</v>
      </c>
      <c r="R393" s="299">
        <f t="shared" si="86"/>
        <v>0.009000000000000001</v>
      </c>
      <c r="S393" s="250">
        <f t="shared" si="87"/>
        <v>1.062</v>
      </c>
      <c r="AA393" s="316">
        <f t="shared" si="88"/>
      </c>
      <c r="AB393" s="316">
        <f t="shared" si="89"/>
      </c>
      <c r="AC393" s="316">
        <f t="shared" si="90"/>
      </c>
      <c r="AD393" s="316">
        <f t="shared" si="91"/>
        <v>0.009000000000000001</v>
      </c>
      <c r="AE393" s="316">
        <f t="shared" si="92"/>
      </c>
      <c r="AG393" s="316">
        <f t="shared" si="93"/>
      </c>
      <c r="AH393" s="316">
        <f t="shared" si="94"/>
      </c>
      <c r="AI393" s="316">
        <f t="shared" si="95"/>
      </c>
      <c r="AJ393" s="316">
        <f t="shared" si="96"/>
        <v>1.062</v>
      </c>
      <c r="AK393" s="316">
        <f t="shared" si="97"/>
      </c>
    </row>
    <row r="394" spans="16:37" ht="15">
      <c r="P394" s="312">
        <f t="shared" si="80"/>
        <v>0.8597257944212549</v>
      </c>
      <c r="Q394" s="247">
        <v>389</v>
      </c>
      <c r="R394" s="299">
        <f aca="true" t="shared" si="98" ref="R394:R411">0.0108/1.2</f>
        <v>0.009000000000000001</v>
      </c>
      <c r="S394" s="250">
        <f t="shared" si="87"/>
        <v>1.062</v>
      </c>
      <c r="AA394" s="316">
        <f t="shared" si="88"/>
      </c>
      <c r="AB394" s="316">
        <f t="shared" si="89"/>
      </c>
      <c r="AC394" s="316">
        <f t="shared" si="90"/>
      </c>
      <c r="AD394" s="316">
        <f t="shared" si="91"/>
        <v>0.009000000000000001</v>
      </c>
      <c r="AE394" s="316">
        <f t="shared" si="92"/>
      </c>
      <c r="AG394" s="316">
        <f t="shared" si="93"/>
      </c>
      <c r="AH394" s="316">
        <f t="shared" si="94"/>
      </c>
      <c r="AI394" s="316">
        <f t="shared" si="95"/>
      </c>
      <c r="AJ394" s="316">
        <f t="shared" si="96"/>
        <v>1.062</v>
      </c>
      <c r="AK394" s="316">
        <f t="shared" si="97"/>
      </c>
    </row>
    <row r="395" spans="16:37" ht="15">
      <c r="P395" s="312">
        <f t="shared" si="80"/>
        <v>0.8670116062383841</v>
      </c>
      <c r="Q395" s="247">
        <v>390</v>
      </c>
      <c r="R395" s="299">
        <f t="shared" si="98"/>
        <v>0.009000000000000001</v>
      </c>
      <c r="S395" s="250">
        <f aca="true" t="shared" si="99" ref="S395:S411">0.885*1.2</f>
        <v>1.062</v>
      </c>
      <c r="AA395" s="316">
        <f t="shared" si="88"/>
      </c>
      <c r="AB395" s="316">
        <f t="shared" si="89"/>
      </c>
      <c r="AC395" s="316">
        <f t="shared" si="90"/>
      </c>
      <c r="AD395" s="316">
        <f t="shared" si="91"/>
        <v>0.009000000000000001</v>
      </c>
      <c r="AE395" s="316">
        <f t="shared" si="92"/>
      </c>
      <c r="AG395" s="316">
        <f t="shared" si="93"/>
      </c>
      <c r="AH395" s="316">
        <f t="shared" si="94"/>
      </c>
      <c r="AI395" s="316">
        <f t="shared" si="95"/>
      </c>
      <c r="AJ395" s="316">
        <f t="shared" si="96"/>
        <v>1.062</v>
      </c>
      <c r="AK395" s="316">
        <f t="shared" si="97"/>
      </c>
    </row>
    <row r="396" spans="16:37" ht="15">
      <c r="P396" s="312">
        <f aca="true" t="shared" si="100" ref="P396:P459">P395+(P395*R395)/S395</f>
        <v>0.8743591622234552</v>
      </c>
      <c r="Q396" s="247">
        <v>391</v>
      </c>
      <c r="R396" s="299">
        <f t="shared" si="98"/>
        <v>0.009000000000000001</v>
      </c>
      <c r="S396" s="250">
        <f t="shared" si="99"/>
        <v>1.062</v>
      </c>
      <c r="AA396" s="316">
        <f t="shared" si="88"/>
      </c>
      <c r="AB396" s="316">
        <f t="shared" si="89"/>
      </c>
      <c r="AC396" s="316">
        <f t="shared" si="90"/>
      </c>
      <c r="AD396" s="316">
        <f t="shared" si="91"/>
        <v>0.009000000000000001</v>
      </c>
      <c r="AE396" s="316">
        <f t="shared" si="92"/>
      </c>
      <c r="AG396" s="316">
        <f t="shared" si="93"/>
      </c>
      <c r="AH396" s="316">
        <f t="shared" si="94"/>
      </c>
      <c r="AI396" s="316">
        <f t="shared" si="95"/>
      </c>
      <c r="AJ396" s="316">
        <f t="shared" si="96"/>
        <v>1.062</v>
      </c>
      <c r="AK396" s="316">
        <f t="shared" si="97"/>
      </c>
    </row>
    <row r="397" spans="16:37" ht="15">
      <c r="P397" s="312">
        <f t="shared" si="100"/>
        <v>0.8817689856321286</v>
      </c>
      <c r="Q397" s="247">
        <v>392</v>
      </c>
      <c r="R397" s="299">
        <f t="shared" si="98"/>
        <v>0.009000000000000001</v>
      </c>
      <c r="S397" s="250">
        <f t="shared" si="99"/>
        <v>1.062</v>
      </c>
      <c r="AA397" s="316">
        <f t="shared" si="88"/>
      </c>
      <c r="AB397" s="316">
        <f t="shared" si="89"/>
      </c>
      <c r="AC397" s="316">
        <f t="shared" si="90"/>
      </c>
      <c r="AD397" s="316">
        <f t="shared" si="91"/>
        <v>0.009000000000000001</v>
      </c>
      <c r="AE397" s="316">
        <f t="shared" si="92"/>
      </c>
      <c r="AG397" s="316">
        <f t="shared" si="93"/>
      </c>
      <c r="AH397" s="316">
        <f t="shared" si="94"/>
      </c>
      <c r="AI397" s="316">
        <f t="shared" si="95"/>
      </c>
      <c r="AJ397" s="316">
        <f t="shared" si="96"/>
        <v>1.062</v>
      </c>
      <c r="AK397" s="316">
        <f t="shared" si="97"/>
      </c>
    </row>
    <row r="398" spans="16:37" ht="15">
      <c r="P398" s="312">
        <f t="shared" si="100"/>
        <v>0.8892416041544348</v>
      </c>
      <c r="Q398" s="249">
        <v>393</v>
      </c>
      <c r="R398" s="299">
        <f t="shared" si="98"/>
        <v>0.009000000000000001</v>
      </c>
      <c r="S398" s="250">
        <f t="shared" si="99"/>
        <v>1.062</v>
      </c>
      <c r="AA398" s="316">
        <f t="shared" si="88"/>
      </c>
      <c r="AB398" s="316">
        <f t="shared" si="89"/>
      </c>
      <c r="AC398" s="316">
        <f t="shared" si="90"/>
      </c>
      <c r="AD398" s="316">
        <f t="shared" si="91"/>
        <v>0.009000000000000001</v>
      </c>
      <c r="AE398" s="316">
        <f t="shared" si="92"/>
      </c>
      <c r="AG398" s="316">
        <f t="shared" si="93"/>
      </c>
      <c r="AH398" s="316">
        <f t="shared" si="94"/>
      </c>
      <c r="AI398" s="316">
        <f t="shared" si="95"/>
      </c>
      <c r="AJ398" s="316">
        <f t="shared" si="96"/>
        <v>1.062</v>
      </c>
      <c r="AK398" s="316">
        <f t="shared" si="97"/>
      </c>
    </row>
    <row r="399" spans="16:37" ht="15">
      <c r="P399" s="312">
        <f t="shared" si="100"/>
        <v>0.8967775499523537</v>
      </c>
      <c r="Q399" s="247">
        <v>394</v>
      </c>
      <c r="R399" s="299">
        <f t="shared" si="98"/>
        <v>0.009000000000000001</v>
      </c>
      <c r="S399" s="250">
        <f t="shared" si="99"/>
        <v>1.062</v>
      </c>
      <c r="AA399" s="316">
        <f t="shared" si="88"/>
      </c>
      <c r="AB399" s="316">
        <f t="shared" si="89"/>
      </c>
      <c r="AC399" s="316">
        <f t="shared" si="90"/>
      </c>
      <c r="AD399" s="316">
        <f t="shared" si="91"/>
        <v>0.009000000000000001</v>
      </c>
      <c r="AE399" s="316">
        <f t="shared" si="92"/>
      </c>
      <c r="AG399" s="316">
        <f t="shared" si="93"/>
      </c>
      <c r="AH399" s="316">
        <f t="shared" si="94"/>
      </c>
      <c r="AI399" s="316">
        <f t="shared" si="95"/>
      </c>
      <c r="AJ399" s="316">
        <f t="shared" si="96"/>
        <v>1.062</v>
      </c>
      <c r="AK399" s="316">
        <f t="shared" si="97"/>
      </c>
    </row>
    <row r="400" spans="16:37" ht="15">
      <c r="P400" s="312">
        <f t="shared" si="100"/>
        <v>0.9043773596977126</v>
      </c>
      <c r="Q400" s="247">
        <v>395</v>
      </c>
      <c r="R400" s="299">
        <f t="shared" si="98"/>
        <v>0.009000000000000001</v>
      </c>
      <c r="S400" s="250">
        <f t="shared" si="99"/>
        <v>1.062</v>
      </c>
      <c r="AA400" s="316">
        <f t="shared" si="88"/>
      </c>
      <c r="AB400" s="316">
        <f t="shared" si="89"/>
      </c>
      <c r="AC400" s="316">
        <f t="shared" si="90"/>
      </c>
      <c r="AD400" s="316">
        <f t="shared" si="91"/>
        <v>0.009000000000000001</v>
      </c>
      <c r="AE400" s="316">
        <f t="shared" si="92"/>
      </c>
      <c r="AG400" s="316">
        <f t="shared" si="93"/>
      </c>
      <c r="AH400" s="316">
        <f t="shared" si="94"/>
      </c>
      <c r="AI400" s="316">
        <f t="shared" si="95"/>
      </c>
      <c r="AJ400" s="316">
        <f t="shared" si="96"/>
        <v>1.062</v>
      </c>
      <c r="AK400" s="316">
        <f t="shared" si="97"/>
      </c>
    </row>
    <row r="401" spans="16:37" ht="15">
      <c r="P401" s="312">
        <f t="shared" si="100"/>
        <v>0.9120415746104051</v>
      </c>
      <c r="Q401" s="247">
        <v>396</v>
      </c>
      <c r="R401" s="299">
        <f t="shared" si="98"/>
        <v>0.009000000000000001</v>
      </c>
      <c r="S401" s="250">
        <f t="shared" si="99"/>
        <v>1.062</v>
      </c>
      <c r="AA401" s="316">
        <f t="shared" si="88"/>
      </c>
      <c r="AB401" s="316">
        <f t="shared" si="89"/>
      </c>
      <c r="AC401" s="316">
        <f t="shared" si="90"/>
      </c>
      <c r="AD401" s="316">
        <f t="shared" si="91"/>
        <v>0.009000000000000001</v>
      </c>
      <c r="AE401" s="316">
        <f t="shared" si="92"/>
      </c>
      <c r="AG401" s="316">
        <f t="shared" si="93"/>
      </c>
      <c r="AH401" s="316">
        <f t="shared" si="94"/>
      </c>
      <c r="AI401" s="316">
        <f t="shared" si="95"/>
      </c>
      <c r="AJ401" s="316">
        <f t="shared" si="96"/>
        <v>1.062</v>
      </c>
      <c r="AK401" s="316">
        <f t="shared" si="97"/>
      </c>
    </row>
    <row r="402" spans="16:37" ht="15">
      <c r="P402" s="312">
        <f t="shared" si="100"/>
        <v>0.919770740496934</v>
      </c>
      <c r="Q402" s="247">
        <v>397</v>
      </c>
      <c r="R402" s="299">
        <f t="shared" si="98"/>
        <v>0.009000000000000001</v>
      </c>
      <c r="S402" s="250">
        <f t="shared" si="99"/>
        <v>1.062</v>
      </c>
      <c r="AA402" s="316">
        <f t="shared" si="88"/>
      </c>
      <c r="AB402" s="316">
        <f t="shared" si="89"/>
      </c>
      <c r="AC402" s="316">
        <f t="shared" si="90"/>
      </c>
      <c r="AD402" s="316">
        <f t="shared" si="91"/>
        <v>0.009000000000000001</v>
      </c>
      <c r="AE402" s="316">
        <f t="shared" si="92"/>
      </c>
      <c r="AG402" s="316">
        <f t="shared" si="93"/>
      </c>
      <c r="AH402" s="316">
        <f t="shared" si="94"/>
      </c>
      <c r="AI402" s="316">
        <f t="shared" si="95"/>
      </c>
      <c r="AJ402" s="316">
        <f t="shared" si="96"/>
        <v>1.062</v>
      </c>
      <c r="AK402" s="316">
        <f t="shared" si="97"/>
      </c>
    </row>
    <row r="403" spans="16:37" ht="15">
      <c r="P403" s="312">
        <f t="shared" si="100"/>
        <v>0.9275654077892809</v>
      </c>
      <c r="Q403" s="247">
        <v>398</v>
      </c>
      <c r="R403" s="299">
        <f t="shared" si="98"/>
        <v>0.009000000000000001</v>
      </c>
      <c r="S403" s="250">
        <f t="shared" si="99"/>
        <v>1.062</v>
      </c>
      <c r="AA403" s="316">
        <f t="shared" si="88"/>
      </c>
      <c r="AB403" s="316">
        <f t="shared" si="89"/>
      </c>
      <c r="AC403" s="316">
        <f t="shared" si="90"/>
      </c>
      <c r="AD403" s="316">
        <f t="shared" si="91"/>
        <v>0.009000000000000001</v>
      </c>
      <c r="AE403" s="316">
        <f t="shared" si="92"/>
      </c>
      <c r="AG403" s="316">
        <f t="shared" si="93"/>
      </c>
      <c r="AH403" s="316">
        <f t="shared" si="94"/>
      </c>
      <c r="AI403" s="316">
        <f t="shared" si="95"/>
      </c>
      <c r="AJ403" s="316">
        <f t="shared" si="96"/>
        <v>1.062</v>
      </c>
      <c r="AK403" s="316">
        <f t="shared" si="97"/>
      </c>
    </row>
    <row r="404" spans="16:37" ht="15">
      <c r="P404" s="312">
        <f t="shared" si="100"/>
        <v>0.9354261315841053</v>
      </c>
      <c r="Q404" s="247">
        <v>399</v>
      </c>
      <c r="R404" s="299">
        <f t="shared" si="98"/>
        <v>0.009000000000000001</v>
      </c>
      <c r="S404" s="250">
        <f t="shared" si="99"/>
        <v>1.062</v>
      </c>
      <c r="AA404" s="316">
        <f t="shared" si="88"/>
      </c>
      <c r="AB404" s="316">
        <f t="shared" si="89"/>
      </c>
      <c r="AC404" s="316">
        <f t="shared" si="90"/>
      </c>
      <c r="AD404" s="316">
        <f t="shared" si="91"/>
        <v>0.009000000000000001</v>
      </c>
      <c r="AE404" s="316">
        <f t="shared" si="92"/>
      </c>
      <c r="AG404" s="316">
        <f t="shared" si="93"/>
      </c>
      <c r="AH404" s="316">
        <f t="shared" si="94"/>
      </c>
      <c r="AI404" s="316">
        <f t="shared" si="95"/>
      </c>
      <c r="AJ404" s="316">
        <f t="shared" si="96"/>
        <v>1.062</v>
      </c>
      <c r="AK404" s="316">
        <f t="shared" si="97"/>
      </c>
    </row>
    <row r="405" spans="16:37" ht="15">
      <c r="P405" s="312">
        <f t="shared" si="100"/>
        <v>0.9433534716822757</v>
      </c>
      <c r="Q405" s="247">
        <v>400</v>
      </c>
      <c r="R405" s="299">
        <f t="shared" si="98"/>
        <v>0.009000000000000001</v>
      </c>
      <c r="S405" s="250">
        <f t="shared" si="99"/>
        <v>1.062</v>
      </c>
      <c r="AA405" s="316">
        <f t="shared" si="88"/>
      </c>
      <c r="AB405" s="316">
        <f t="shared" si="89"/>
      </c>
      <c r="AC405" s="316">
        <f t="shared" si="90"/>
      </c>
      <c r="AD405" s="316">
        <f t="shared" si="91"/>
        <v>0.009000000000000001</v>
      </c>
      <c r="AE405" s="316">
        <f t="shared" si="92"/>
      </c>
      <c r="AG405" s="316">
        <f t="shared" si="93"/>
      </c>
      <c r="AH405" s="316">
        <f t="shared" si="94"/>
      </c>
      <c r="AI405" s="316">
        <f t="shared" si="95"/>
      </c>
      <c r="AJ405" s="316">
        <f t="shared" si="96"/>
        <v>1.062</v>
      </c>
      <c r="AK405" s="316">
        <f t="shared" si="97"/>
      </c>
    </row>
    <row r="406" spans="16:37" ht="15">
      <c r="P406" s="312">
        <f t="shared" si="100"/>
        <v>0.9513479926287356</v>
      </c>
      <c r="Q406" s="247">
        <v>401</v>
      </c>
      <c r="R406" s="299">
        <f t="shared" si="98"/>
        <v>0.009000000000000001</v>
      </c>
      <c r="S406" s="250">
        <f t="shared" si="99"/>
        <v>1.062</v>
      </c>
      <c r="AA406" s="316">
        <f t="shared" si="88"/>
      </c>
      <c r="AB406" s="316">
        <f t="shared" si="89"/>
      </c>
      <c r="AC406" s="316">
        <f t="shared" si="90"/>
      </c>
      <c r="AD406" s="316">
        <f t="shared" si="91"/>
        <v>0.009000000000000001</v>
      </c>
      <c r="AE406" s="316">
        <f t="shared" si="92"/>
      </c>
      <c r="AG406" s="316">
        <f t="shared" si="93"/>
      </c>
      <c r="AH406" s="316">
        <f t="shared" si="94"/>
      </c>
      <c r="AI406" s="316">
        <f t="shared" si="95"/>
      </c>
      <c r="AJ406" s="316">
        <f t="shared" si="96"/>
        <v>1.062</v>
      </c>
      <c r="AK406" s="316">
        <f t="shared" si="97"/>
      </c>
    </row>
    <row r="407" spans="16:37" ht="15">
      <c r="P407" s="312">
        <f t="shared" si="100"/>
        <v>0.9594102637527079</v>
      </c>
      <c r="Q407" s="247">
        <v>402</v>
      </c>
      <c r="R407" s="299">
        <f t="shared" si="98"/>
        <v>0.009000000000000001</v>
      </c>
      <c r="S407" s="250">
        <f t="shared" si="99"/>
        <v>1.062</v>
      </c>
      <c r="AA407" s="316">
        <f t="shared" si="88"/>
      </c>
      <c r="AB407" s="316">
        <f t="shared" si="89"/>
      </c>
      <c r="AC407" s="316">
        <f t="shared" si="90"/>
      </c>
      <c r="AD407" s="316">
        <f t="shared" si="91"/>
        <v>0.009000000000000001</v>
      </c>
      <c r="AE407" s="316">
        <f t="shared" si="92"/>
      </c>
      <c r="AG407" s="316">
        <f t="shared" si="93"/>
      </c>
      <c r="AH407" s="316">
        <f t="shared" si="94"/>
      </c>
      <c r="AI407" s="316">
        <f t="shared" si="95"/>
      </c>
      <c r="AJ407" s="316">
        <f t="shared" si="96"/>
        <v>1.062</v>
      </c>
      <c r="AK407" s="316">
        <f t="shared" si="97"/>
      </c>
    </row>
    <row r="408" spans="16:37" ht="15">
      <c r="P408" s="312">
        <f t="shared" si="100"/>
        <v>0.9675408592082393</v>
      </c>
      <c r="Q408" s="247">
        <v>403</v>
      </c>
      <c r="R408" s="299">
        <f t="shared" si="98"/>
        <v>0.009000000000000001</v>
      </c>
      <c r="S408" s="250">
        <f t="shared" si="99"/>
        <v>1.062</v>
      </c>
      <c r="AA408" s="316">
        <f t="shared" si="88"/>
      </c>
      <c r="AB408" s="316">
        <f t="shared" si="89"/>
      </c>
      <c r="AC408" s="316">
        <f t="shared" si="90"/>
      </c>
      <c r="AD408" s="316">
        <f t="shared" si="91"/>
        <v>0.009000000000000001</v>
      </c>
      <c r="AE408" s="316">
        <f t="shared" si="92"/>
      </c>
      <c r="AG408" s="316">
        <f t="shared" si="93"/>
      </c>
      <c r="AH408" s="316">
        <f t="shared" si="94"/>
      </c>
      <c r="AI408" s="316">
        <f t="shared" si="95"/>
      </c>
      <c r="AJ408" s="316">
        <f t="shared" si="96"/>
        <v>1.062</v>
      </c>
      <c r="AK408" s="316">
        <f t="shared" si="97"/>
      </c>
    </row>
    <row r="409" spans="16:37" ht="15">
      <c r="P409" s="312">
        <f t="shared" si="100"/>
        <v>0.9757403580150887</v>
      </c>
      <c r="Q409" s="247">
        <v>404</v>
      </c>
      <c r="R409" s="299">
        <f t="shared" si="98"/>
        <v>0.009000000000000001</v>
      </c>
      <c r="S409" s="250">
        <f t="shared" si="99"/>
        <v>1.062</v>
      </c>
      <c r="AA409" s="316">
        <f t="shared" si="88"/>
      </c>
      <c r="AB409" s="316">
        <f t="shared" si="89"/>
      </c>
      <c r="AC409" s="316">
        <f t="shared" si="90"/>
      </c>
      <c r="AD409" s="316">
        <f t="shared" si="91"/>
        <v>0.009000000000000001</v>
      </c>
      <c r="AE409" s="316">
        <f t="shared" si="92"/>
      </c>
      <c r="AG409" s="316">
        <f t="shared" si="93"/>
      </c>
      <c r="AH409" s="316">
        <f t="shared" si="94"/>
      </c>
      <c r="AI409" s="316">
        <f t="shared" si="95"/>
      </c>
      <c r="AJ409" s="316">
        <f t="shared" si="96"/>
        <v>1.062</v>
      </c>
      <c r="AK409" s="316">
        <f t="shared" si="97"/>
      </c>
    </row>
    <row r="410" spans="16:37" ht="15">
      <c r="P410" s="312">
        <f t="shared" si="100"/>
        <v>0.9840093440999623</v>
      </c>
      <c r="Q410" s="247">
        <v>405</v>
      </c>
      <c r="R410" s="299">
        <f t="shared" si="98"/>
        <v>0.009000000000000001</v>
      </c>
      <c r="S410" s="250">
        <f t="shared" si="99"/>
        <v>1.062</v>
      </c>
      <c r="AA410" s="316">
        <f t="shared" si="88"/>
      </c>
      <c r="AB410" s="316">
        <f t="shared" si="89"/>
      </c>
      <c r="AC410" s="316">
        <f t="shared" si="90"/>
      </c>
      <c r="AD410" s="316">
        <f t="shared" si="91"/>
        <v>0.009000000000000001</v>
      </c>
      <c r="AE410" s="316">
        <f t="shared" si="92"/>
      </c>
      <c r="AG410" s="316">
        <f t="shared" si="93"/>
      </c>
      <c r="AH410" s="316">
        <f t="shared" si="94"/>
      </c>
      <c r="AI410" s="316">
        <f t="shared" si="95"/>
      </c>
      <c r="AJ410" s="316">
        <f t="shared" si="96"/>
        <v>1.062</v>
      </c>
      <c r="AK410" s="316">
        <f t="shared" si="97"/>
      </c>
    </row>
    <row r="411" spans="16:37" ht="15">
      <c r="P411" s="312">
        <f t="shared" si="100"/>
        <v>0.9923484063380976</v>
      </c>
      <c r="Q411" s="247">
        <v>406</v>
      </c>
      <c r="R411" s="299">
        <f t="shared" si="98"/>
        <v>0.009000000000000001</v>
      </c>
      <c r="S411" s="250">
        <f t="shared" si="99"/>
        <v>1.062</v>
      </c>
      <c r="AA411" s="316">
        <f t="shared" si="88"/>
      </c>
      <c r="AB411" s="316">
        <f t="shared" si="89"/>
      </c>
      <c r="AC411" s="316">
        <f t="shared" si="90"/>
      </c>
      <c r="AD411" s="316">
        <f t="shared" si="91"/>
        <v>0.009000000000000001</v>
      </c>
      <c r="AE411" s="316">
        <f t="shared" si="92"/>
      </c>
      <c r="AG411" s="316">
        <f t="shared" si="93"/>
      </c>
      <c r="AH411" s="316">
        <f t="shared" si="94"/>
      </c>
      <c r="AI411" s="316">
        <f t="shared" si="95"/>
      </c>
      <c r="AJ411" s="316">
        <f t="shared" si="96"/>
        <v>1.062</v>
      </c>
      <c r="AK411" s="316">
        <f t="shared" si="97"/>
      </c>
    </row>
    <row r="412" spans="16:37" ht="15">
      <c r="P412" s="312">
        <f t="shared" si="100"/>
        <v>1.0007581385952002</v>
      </c>
      <c r="Q412" s="248">
        <v>407</v>
      </c>
      <c r="R412" s="299">
        <f aca="true" t="shared" si="101" ref="R412:R475">0.0089/1.2</f>
        <v>0.007416666666666667</v>
      </c>
      <c r="S412" s="250">
        <v>1.2</v>
      </c>
      <c r="AA412" s="316">
        <f t="shared" si="88"/>
      </c>
      <c r="AB412" s="316">
        <f t="shared" si="89"/>
      </c>
      <c r="AC412" s="316">
        <f t="shared" si="90"/>
      </c>
      <c r="AD412" s="316">
        <f t="shared" si="91"/>
      </c>
      <c r="AE412" s="316">
        <f t="shared" si="92"/>
        <v>0.007416666666666667</v>
      </c>
      <c r="AG412" s="316">
        <f t="shared" si="93"/>
      </c>
      <c r="AH412" s="316">
        <f t="shared" si="94"/>
      </c>
      <c r="AI412" s="316">
        <f t="shared" si="95"/>
      </c>
      <c r="AJ412" s="316">
        <f t="shared" si="96"/>
      </c>
      <c r="AK412" s="316">
        <f t="shared" si="97"/>
        <v>1.2</v>
      </c>
    </row>
    <row r="413" spans="16:37" ht="15">
      <c r="P413" s="312">
        <f t="shared" si="100"/>
        <v>1.0069433798684622</v>
      </c>
      <c r="Q413" s="247">
        <v>408</v>
      </c>
      <c r="R413" s="299">
        <f t="shared" si="101"/>
        <v>0.007416666666666667</v>
      </c>
      <c r="S413" s="250">
        <v>1.2</v>
      </c>
      <c r="AA413" s="316">
        <f t="shared" si="88"/>
      </c>
      <c r="AB413" s="316">
        <f t="shared" si="89"/>
      </c>
      <c r="AC413" s="316">
        <f t="shared" si="90"/>
      </c>
      <c r="AD413" s="316">
        <f t="shared" si="91"/>
      </c>
      <c r="AE413" s="316">
        <f t="shared" si="92"/>
        <v>0.007416666666666667</v>
      </c>
      <c r="AG413" s="316">
        <f t="shared" si="93"/>
      </c>
      <c r="AH413" s="316">
        <f t="shared" si="94"/>
      </c>
      <c r="AI413" s="316">
        <f t="shared" si="95"/>
      </c>
      <c r="AJ413" s="316">
        <f t="shared" si="96"/>
      </c>
      <c r="AK413" s="316">
        <f t="shared" si="97"/>
        <v>1.2</v>
      </c>
    </row>
    <row r="414" spans="16:37" ht="15">
      <c r="P414" s="312">
        <f t="shared" si="100"/>
        <v>1.013166849369038</v>
      </c>
      <c r="Q414" s="247">
        <v>409</v>
      </c>
      <c r="R414" s="299">
        <f t="shared" si="101"/>
        <v>0.007416666666666667</v>
      </c>
      <c r="S414" s="250">
        <v>1.2</v>
      </c>
      <c r="AA414" s="316">
        <f t="shared" si="88"/>
      </c>
      <c r="AB414" s="316">
        <f t="shared" si="89"/>
      </c>
      <c r="AC414" s="316">
        <f t="shared" si="90"/>
      </c>
      <c r="AD414" s="316">
        <f t="shared" si="91"/>
      </c>
      <c r="AE414" s="316">
        <f t="shared" si="92"/>
        <v>0.007416666666666667</v>
      </c>
      <c r="AG414" s="316">
        <f t="shared" si="93"/>
      </c>
      <c r="AH414" s="316">
        <f t="shared" si="94"/>
      </c>
      <c r="AI414" s="316">
        <f t="shared" si="95"/>
      </c>
      <c r="AJ414" s="316">
        <f t="shared" si="96"/>
      </c>
      <c r="AK414" s="316">
        <f t="shared" si="97"/>
        <v>1.2</v>
      </c>
    </row>
    <row r="415" spans="16:37" ht="15">
      <c r="P415" s="312">
        <f t="shared" si="100"/>
        <v>1.0194287833686104</v>
      </c>
      <c r="Q415" s="247">
        <v>410</v>
      </c>
      <c r="R415" s="299">
        <f t="shared" si="101"/>
        <v>0.007416666666666667</v>
      </c>
      <c r="S415" s="250">
        <v>1.2</v>
      </c>
      <c r="AA415" s="316">
        <f t="shared" si="88"/>
      </c>
      <c r="AB415" s="316">
        <f t="shared" si="89"/>
      </c>
      <c r="AC415" s="316">
        <f t="shared" si="90"/>
      </c>
      <c r="AD415" s="316">
        <f t="shared" si="91"/>
      </c>
      <c r="AE415" s="316">
        <f t="shared" si="92"/>
        <v>0.007416666666666667</v>
      </c>
      <c r="AG415" s="316">
        <f t="shared" si="93"/>
      </c>
      <c r="AH415" s="316">
        <f t="shared" si="94"/>
      </c>
      <c r="AI415" s="316">
        <f t="shared" si="95"/>
      </c>
      <c r="AJ415" s="316">
        <f t="shared" si="96"/>
      </c>
      <c r="AK415" s="316">
        <f t="shared" si="97"/>
        <v>1.2</v>
      </c>
    </row>
    <row r="416" spans="16:37" ht="15">
      <c r="P416" s="312">
        <f t="shared" si="100"/>
        <v>1.0257294195991524</v>
      </c>
      <c r="Q416" s="247">
        <v>411</v>
      </c>
      <c r="R416" s="299">
        <f t="shared" si="101"/>
        <v>0.007416666666666667</v>
      </c>
      <c r="S416" s="250">
        <v>1.2</v>
      </c>
      <c r="AA416" s="316">
        <f t="shared" si="88"/>
      </c>
      <c r="AB416" s="316">
        <f t="shared" si="89"/>
      </c>
      <c r="AC416" s="316">
        <f t="shared" si="90"/>
      </c>
      <c r="AD416" s="316">
        <f t="shared" si="91"/>
      </c>
      <c r="AE416" s="316">
        <f t="shared" si="92"/>
        <v>0.007416666666666667</v>
      </c>
      <c r="AG416" s="316">
        <f t="shared" si="93"/>
      </c>
      <c r="AH416" s="316">
        <f t="shared" si="94"/>
      </c>
      <c r="AI416" s="316">
        <f t="shared" si="95"/>
      </c>
      <c r="AJ416" s="316">
        <f t="shared" si="96"/>
      </c>
      <c r="AK416" s="316">
        <f t="shared" si="97"/>
        <v>1.2</v>
      </c>
    </row>
    <row r="417" spans="16:37" ht="15">
      <c r="P417" s="312">
        <f t="shared" si="100"/>
        <v>1.0320689972619528</v>
      </c>
      <c r="Q417" s="247">
        <v>412</v>
      </c>
      <c r="R417" s="299">
        <f t="shared" si="101"/>
        <v>0.007416666666666667</v>
      </c>
      <c r="S417" s="250">
        <v>1.2</v>
      </c>
      <c r="AA417" s="316">
        <f t="shared" si="88"/>
      </c>
      <c r="AB417" s="316">
        <f t="shared" si="89"/>
      </c>
      <c r="AC417" s="316">
        <f t="shared" si="90"/>
      </c>
      <c r="AD417" s="316">
        <f t="shared" si="91"/>
      </c>
      <c r="AE417" s="316">
        <f t="shared" si="92"/>
        <v>0.007416666666666667</v>
      </c>
      <c r="AG417" s="316">
        <f t="shared" si="93"/>
      </c>
      <c r="AH417" s="316">
        <f t="shared" si="94"/>
      </c>
      <c r="AI417" s="316">
        <f t="shared" si="95"/>
      </c>
      <c r="AJ417" s="316">
        <f t="shared" si="96"/>
      </c>
      <c r="AK417" s="316">
        <f t="shared" si="97"/>
        <v>1.2</v>
      </c>
    </row>
    <row r="418" spans="16:37" ht="15">
      <c r="P418" s="312">
        <f t="shared" si="100"/>
        <v>1.0384477570366968</v>
      </c>
      <c r="Q418" s="247">
        <v>413</v>
      </c>
      <c r="R418" s="299">
        <f t="shared" si="101"/>
        <v>0.007416666666666667</v>
      </c>
      <c r="S418" s="250">
        <v>1.2</v>
      </c>
      <c r="AA418" s="316">
        <f t="shared" si="88"/>
      </c>
      <c r="AB418" s="316">
        <f t="shared" si="89"/>
      </c>
      <c r="AC418" s="316">
        <f t="shared" si="90"/>
      </c>
      <c r="AD418" s="316">
        <f t="shared" si="91"/>
      </c>
      <c r="AE418" s="316">
        <f t="shared" si="92"/>
        <v>0.007416666666666667</v>
      </c>
      <c r="AG418" s="316">
        <f t="shared" si="93"/>
      </c>
      <c r="AH418" s="316">
        <f t="shared" si="94"/>
      </c>
      <c r="AI418" s="316">
        <f t="shared" si="95"/>
      </c>
      <c r="AJ418" s="316">
        <f t="shared" si="96"/>
      </c>
      <c r="AK418" s="316">
        <f t="shared" si="97"/>
        <v>1.2</v>
      </c>
    </row>
    <row r="419" spans="16:37" ht="15">
      <c r="P419" s="312">
        <f t="shared" si="100"/>
        <v>1.044865941090604</v>
      </c>
      <c r="Q419" s="247">
        <v>414</v>
      </c>
      <c r="R419" s="299">
        <f t="shared" si="101"/>
        <v>0.007416666666666667</v>
      </c>
      <c r="S419" s="250">
        <v>1.2</v>
      </c>
      <c r="AA419" s="316">
        <f t="shared" si="88"/>
      </c>
      <c r="AB419" s="316">
        <f t="shared" si="89"/>
      </c>
      <c r="AC419" s="316">
        <f t="shared" si="90"/>
      </c>
      <c r="AD419" s="316">
        <f t="shared" si="91"/>
      </c>
      <c r="AE419" s="316">
        <f t="shared" si="92"/>
        <v>0.007416666666666667</v>
      </c>
      <c r="AG419" s="316">
        <f t="shared" si="93"/>
      </c>
      <c r="AH419" s="316">
        <f t="shared" si="94"/>
      </c>
      <c r="AI419" s="316">
        <f t="shared" si="95"/>
      </c>
      <c r="AJ419" s="316">
        <f t="shared" si="96"/>
      </c>
      <c r="AK419" s="316">
        <f t="shared" si="97"/>
        <v>1.2</v>
      </c>
    </row>
    <row r="420" spans="16:37" ht="15">
      <c r="P420" s="312">
        <f t="shared" si="100"/>
        <v>1.0513237930876225</v>
      </c>
      <c r="Q420" s="247">
        <v>415</v>
      </c>
      <c r="R420" s="299">
        <f t="shared" si="101"/>
        <v>0.007416666666666667</v>
      </c>
      <c r="S420" s="250">
        <v>1.2</v>
      </c>
      <c r="AA420" s="316">
        <f t="shared" si="88"/>
      </c>
      <c r="AB420" s="316">
        <f t="shared" si="89"/>
      </c>
      <c r="AC420" s="316">
        <f t="shared" si="90"/>
      </c>
      <c r="AD420" s="316">
        <f t="shared" si="91"/>
      </c>
      <c r="AE420" s="316">
        <f t="shared" si="92"/>
        <v>0.007416666666666667</v>
      </c>
      <c r="AG420" s="316">
        <f t="shared" si="93"/>
      </c>
      <c r="AH420" s="316">
        <f t="shared" si="94"/>
      </c>
      <c r="AI420" s="316">
        <f t="shared" si="95"/>
      </c>
      <c r="AJ420" s="316">
        <f t="shared" si="96"/>
      </c>
      <c r="AK420" s="316">
        <f t="shared" si="97"/>
        <v>1.2</v>
      </c>
    </row>
    <row r="421" spans="16:37" ht="15">
      <c r="P421" s="312">
        <f t="shared" si="100"/>
        <v>1.057821558197678</v>
      </c>
      <c r="Q421" s="247">
        <v>416</v>
      </c>
      <c r="R421" s="299">
        <f t="shared" si="101"/>
        <v>0.007416666666666667</v>
      </c>
      <c r="S421" s="250">
        <v>1.2</v>
      </c>
      <c r="AA421" s="316">
        <f t="shared" si="88"/>
      </c>
      <c r="AB421" s="316">
        <f t="shared" si="89"/>
      </c>
      <c r="AC421" s="316">
        <f t="shared" si="90"/>
      </c>
      <c r="AD421" s="316">
        <f t="shared" si="91"/>
      </c>
      <c r="AE421" s="316">
        <f t="shared" si="92"/>
        <v>0.007416666666666667</v>
      </c>
      <c r="AG421" s="316">
        <f t="shared" si="93"/>
      </c>
      <c r="AH421" s="316">
        <f t="shared" si="94"/>
      </c>
      <c r="AI421" s="316">
        <f t="shared" si="95"/>
      </c>
      <c r="AJ421" s="316">
        <f t="shared" si="96"/>
      </c>
      <c r="AK421" s="316">
        <f t="shared" si="97"/>
        <v>1.2</v>
      </c>
    </row>
    <row r="422" spans="16:37" ht="15">
      <c r="P422" s="312">
        <f t="shared" si="100"/>
        <v>1.064359483105983</v>
      </c>
      <c r="Q422" s="247">
        <v>417</v>
      </c>
      <c r="R422" s="299">
        <f t="shared" si="101"/>
        <v>0.007416666666666667</v>
      </c>
      <c r="S422" s="250">
        <v>1.2</v>
      </c>
      <c r="AA422" s="316">
        <f t="shared" si="88"/>
      </c>
      <c r="AB422" s="316">
        <f t="shared" si="89"/>
      </c>
      <c r="AC422" s="316">
        <f t="shared" si="90"/>
      </c>
      <c r="AD422" s="316">
        <f t="shared" si="91"/>
      </c>
      <c r="AE422" s="316">
        <f t="shared" si="92"/>
        <v>0.007416666666666667</v>
      </c>
      <c r="AG422" s="316">
        <f t="shared" si="93"/>
      </c>
      <c r="AH422" s="316">
        <f t="shared" si="94"/>
      </c>
      <c r="AI422" s="316">
        <f t="shared" si="95"/>
      </c>
      <c r="AJ422" s="316">
        <f t="shared" si="96"/>
      </c>
      <c r="AK422" s="316">
        <f t="shared" si="97"/>
        <v>1.2</v>
      </c>
    </row>
    <row r="423" spans="16:37" ht="15">
      <c r="P423" s="312">
        <f t="shared" si="100"/>
        <v>1.070937816022402</v>
      </c>
      <c r="Q423" s="247">
        <v>418</v>
      </c>
      <c r="R423" s="299">
        <f t="shared" si="101"/>
        <v>0.007416666666666667</v>
      </c>
      <c r="S423" s="250">
        <v>1.2</v>
      </c>
      <c r="AA423" s="316">
        <f t="shared" si="88"/>
      </c>
      <c r="AB423" s="316">
        <f t="shared" si="89"/>
      </c>
      <c r="AC423" s="316">
        <f t="shared" si="90"/>
      </c>
      <c r="AD423" s="316">
        <f t="shared" si="91"/>
      </c>
      <c r="AE423" s="316">
        <f t="shared" si="92"/>
        <v>0.007416666666666667</v>
      </c>
      <c r="AG423" s="316">
        <f t="shared" si="93"/>
      </c>
      <c r="AH423" s="316">
        <f t="shared" si="94"/>
      </c>
      <c r="AI423" s="316">
        <f t="shared" si="95"/>
      </c>
      <c r="AJ423" s="316">
        <f t="shared" si="96"/>
      </c>
      <c r="AK423" s="316">
        <f t="shared" si="97"/>
        <v>1.2</v>
      </c>
    </row>
    <row r="424" spans="16:37" ht="15">
      <c r="P424" s="312">
        <f t="shared" si="100"/>
        <v>1.0775568066908736</v>
      </c>
      <c r="Q424" s="247">
        <v>419</v>
      </c>
      <c r="R424" s="299">
        <f t="shared" si="101"/>
        <v>0.007416666666666667</v>
      </c>
      <c r="S424" s="250">
        <v>1.2</v>
      </c>
      <c r="AA424" s="316">
        <f t="shared" si="88"/>
      </c>
      <c r="AB424" s="316">
        <f t="shared" si="89"/>
      </c>
      <c r="AC424" s="316">
        <f t="shared" si="90"/>
      </c>
      <c r="AD424" s="316">
        <f t="shared" si="91"/>
      </c>
      <c r="AE424" s="316">
        <f t="shared" si="92"/>
        <v>0.007416666666666667</v>
      </c>
      <c r="AG424" s="316">
        <f t="shared" si="93"/>
      </c>
      <c r="AH424" s="316">
        <f t="shared" si="94"/>
      </c>
      <c r="AI424" s="316">
        <f t="shared" si="95"/>
      </c>
      <c r="AJ424" s="316">
        <f t="shared" si="96"/>
      </c>
      <c r="AK424" s="316">
        <f t="shared" si="97"/>
        <v>1.2</v>
      </c>
    </row>
    <row r="425" spans="16:37" ht="15">
      <c r="P425" s="312">
        <f t="shared" si="100"/>
        <v>1.0842167063988937</v>
      </c>
      <c r="Q425" s="247">
        <v>420</v>
      </c>
      <c r="R425" s="299">
        <f t="shared" si="101"/>
        <v>0.007416666666666667</v>
      </c>
      <c r="S425" s="250">
        <v>1.2</v>
      </c>
      <c r="AA425" s="316">
        <f t="shared" si="88"/>
      </c>
      <c r="AB425" s="316">
        <f t="shared" si="89"/>
      </c>
      <c r="AC425" s="316">
        <f t="shared" si="90"/>
      </c>
      <c r="AD425" s="316">
        <f t="shared" si="91"/>
      </c>
      <c r="AE425" s="316">
        <f t="shared" si="92"/>
        <v>0.007416666666666667</v>
      </c>
      <c r="AG425" s="316">
        <f t="shared" si="93"/>
      </c>
      <c r="AH425" s="316">
        <f t="shared" si="94"/>
      </c>
      <c r="AI425" s="316">
        <f t="shared" si="95"/>
      </c>
      <c r="AJ425" s="316">
        <f t="shared" si="96"/>
      </c>
      <c r="AK425" s="316">
        <f t="shared" si="97"/>
        <v>1.2</v>
      </c>
    </row>
    <row r="426" spans="16:37" ht="15">
      <c r="P426" s="312">
        <f t="shared" si="100"/>
        <v>1.0909177679870534</v>
      </c>
      <c r="Q426" s="247">
        <v>421</v>
      </c>
      <c r="R426" s="299">
        <f t="shared" si="101"/>
        <v>0.007416666666666667</v>
      </c>
      <c r="S426" s="250">
        <v>1.2</v>
      </c>
      <c r="AA426" s="316">
        <f t="shared" si="88"/>
      </c>
      <c r="AB426" s="316">
        <f t="shared" si="89"/>
      </c>
      <c r="AC426" s="316">
        <f t="shared" si="90"/>
      </c>
      <c r="AD426" s="316">
        <f t="shared" si="91"/>
      </c>
      <c r="AE426" s="316">
        <f t="shared" si="92"/>
        <v>0.007416666666666667</v>
      </c>
      <c r="AG426" s="316">
        <f t="shared" si="93"/>
      </c>
      <c r="AH426" s="316">
        <f t="shared" si="94"/>
      </c>
      <c r="AI426" s="316">
        <f t="shared" si="95"/>
      </c>
      <c r="AJ426" s="316">
        <f t="shared" si="96"/>
      </c>
      <c r="AK426" s="316">
        <f t="shared" si="97"/>
        <v>1.2</v>
      </c>
    </row>
    <row r="427" spans="16:37" ht="15">
      <c r="P427" s="312">
        <f t="shared" si="100"/>
        <v>1.09766024585864</v>
      </c>
      <c r="Q427" s="247">
        <v>422</v>
      </c>
      <c r="R427" s="299">
        <f t="shared" si="101"/>
        <v>0.007416666666666667</v>
      </c>
      <c r="S427" s="250">
        <v>1.2</v>
      </c>
      <c r="AA427" s="316">
        <f t="shared" si="88"/>
      </c>
      <c r="AB427" s="316">
        <f t="shared" si="89"/>
      </c>
      <c r="AC427" s="316">
        <f t="shared" si="90"/>
      </c>
      <c r="AD427" s="316">
        <f t="shared" si="91"/>
      </c>
      <c r="AE427" s="316">
        <f t="shared" si="92"/>
        <v>0.007416666666666667</v>
      </c>
      <c r="AG427" s="316">
        <f t="shared" si="93"/>
      </c>
      <c r="AH427" s="316">
        <f t="shared" si="94"/>
      </c>
      <c r="AI427" s="316">
        <f t="shared" si="95"/>
      </c>
      <c r="AJ427" s="316">
        <f t="shared" si="96"/>
      </c>
      <c r="AK427" s="316">
        <f t="shared" si="97"/>
        <v>1.2</v>
      </c>
    </row>
    <row r="428" spans="16:37" ht="15">
      <c r="P428" s="312">
        <f t="shared" si="100"/>
        <v>1.104444395989294</v>
      </c>
      <c r="Q428" s="247">
        <v>423</v>
      </c>
      <c r="R428" s="299">
        <f t="shared" si="101"/>
        <v>0.007416666666666667</v>
      </c>
      <c r="S428" s="250">
        <v>1.2</v>
      </c>
      <c r="AA428" s="316">
        <f t="shared" si="88"/>
      </c>
      <c r="AB428" s="316">
        <f t="shared" si="89"/>
      </c>
      <c r="AC428" s="316">
        <f t="shared" si="90"/>
      </c>
      <c r="AD428" s="316">
        <f t="shared" si="91"/>
      </c>
      <c r="AE428" s="316">
        <f t="shared" si="92"/>
        <v>0.007416666666666667</v>
      </c>
      <c r="AG428" s="316">
        <f t="shared" si="93"/>
      </c>
      <c r="AH428" s="316">
        <f t="shared" si="94"/>
      </c>
      <c r="AI428" s="316">
        <f t="shared" si="95"/>
      </c>
      <c r="AJ428" s="316">
        <f t="shared" si="96"/>
      </c>
      <c r="AK428" s="316">
        <f t="shared" si="97"/>
        <v>1.2</v>
      </c>
    </row>
    <row r="429" spans="16:37" ht="15">
      <c r="P429" s="312">
        <f t="shared" si="100"/>
        <v>1.1112704759367278</v>
      </c>
      <c r="Q429" s="247">
        <v>424</v>
      </c>
      <c r="R429" s="299">
        <f t="shared" si="101"/>
        <v>0.007416666666666667</v>
      </c>
      <c r="S429" s="250">
        <v>1.2</v>
      </c>
      <c r="AA429" s="316">
        <f t="shared" si="88"/>
      </c>
      <c r="AB429" s="316">
        <f t="shared" si="89"/>
      </c>
      <c r="AC429" s="316">
        <f t="shared" si="90"/>
      </c>
      <c r="AD429" s="316">
        <f t="shared" si="91"/>
      </c>
      <c r="AE429" s="316">
        <f t="shared" si="92"/>
        <v>0.007416666666666667</v>
      </c>
      <c r="AG429" s="316">
        <f t="shared" si="93"/>
      </c>
      <c r="AH429" s="316">
        <f t="shared" si="94"/>
      </c>
      <c r="AI429" s="316">
        <f t="shared" si="95"/>
      </c>
      <c r="AJ429" s="316">
        <f t="shared" si="96"/>
      </c>
      <c r="AK429" s="316">
        <f t="shared" si="97"/>
        <v>1.2</v>
      </c>
    </row>
    <row r="430" spans="16:37" ht="15">
      <c r="P430" s="312">
        <f t="shared" si="100"/>
        <v>1.1181387448505034</v>
      </c>
      <c r="Q430" s="247">
        <v>425</v>
      </c>
      <c r="R430" s="299">
        <f t="shared" si="101"/>
        <v>0.007416666666666667</v>
      </c>
      <c r="S430" s="250">
        <v>1.2</v>
      </c>
      <c r="AA430" s="316">
        <f t="shared" si="88"/>
      </c>
      <c r="AB430" s="316">
        <f t="shared" si="89"/>
      </c>
      <c r="AC430" s="316">
        <f t="shared" si="90"/>
      </c>
      <c r="AD430" s="316">
        <f t="shared" si="91"/>
      </c>
      <c r="AE430" s="316">
        <f t="shared" si="92"/>
        <v>0.007416666666666667</v>
      </c>
      <c r="AG430" s="316">
        <f t="shared" si="93"/>
      </c>
      <c r="AH430" s="316">
        <f t="shared" si="94"/>
      </c>
      <c r="AI430" s="316">
        <f t="shared" si="95"/>
      </c>
      <c r="AJ430" s="316">
        <f t="shared" si="96"/>
      </c>
      <c r="AK430" s="316">
        <f t="shared" si="97"/>
        <v>1.2</v>
      </c>
    </row>
    <row r="431" spans="16:37" ht="15">
      <c r="P431" s="312">
        <f t="shared" si="100"/>
        <v>1.125049463481871</v>
      </c>
      <c r="Q431" s="247">
        <v>426</v>
      </c>
      <c r="R431" s="299">
        <f t="shared" si="101"/>
        <v>0.007416666666666667</v>
      </c>
      <c r="S431" s="250">
        <v>1.2</v>
      </c>
      <c r="AA431" s="316">
        <f t="shared" si="88"/>
      </c>
      <c r="AB431" s="316">
        <f t="shared" si="89"/>
      </c>
      <c r="AC431" s="316">
        <f t="shared" si="90"/>
      </c>
      <c r="AD431" s="316">
        <f t="shared" si="91"/>
      </c>
      <c r="AE431" s="316">
        <f t="shared" si="92"/>
        <v>0.007416666666666667</v>
      </c>
      <c r="AG431" s="316">
        <f t="shared" si="93"/>
      </c>
      <c r="AH431" s="316">
        <f t="shared" si="94"/>
      </c>
      <c r="AI431" s="316">
        <f t="shared" si="95"/>
      </c>
      <c r="AJ431" s="316">
        <f t="shared" si="96"/>
      </c>
      <c r="AK431" s="316">
        <f t="shared" si="97"/>
        <v>1.2</v>
      </c>
    </row>
    <row r="432" spans="16:37" ht="15">
      <c r="P432" s="312">
        <f t="shared" si="100"/>
        <v>1.1320028941936688</v>
      </c>
      <c r="Q432" s="247">
        <v>427</v>
      </c>
      <c r="R432" s="299">
        <f t="shared" si="101"/>
        <v>0.007416666666666667</v>
      </c>
      <c r="S432" s="250">
        <v>1.2</v>
      </c>
      <c r="AA432" s="316">
        <f t="shared" si="88"/>
      </c>
      <c r="AB432" s="316">
        <f t="shared" si="89"/>
      </c>
      <c r="AC432" s="316">
        <f t="shared" si="90"/>
      </c>
      <c r="AD432" s="316">
        <f t="shared" si="91"/>
      </c>
      <c r="AE432" s="316">
        <f t="shared" si="92"/>
        <v>0.007416666666666667</v>
      </c>
      <c r="AG432" s="316">
        <f t="shared" si="93"/>
      </c>
      <c r="AH432" s="316">
        <f t="shared" si="94"/>
      </c>
      <c r="AI432" s="316">
        <f t="shared" si="95"/>
      </c>
      <c r="AJ432" s="316">
        <f t="shared" si="96"/>
      </c>
      <c r="AK432" s="316">
        <f t="shared" si="97"/>
        <v>1.2</v>
      </c>
    </row>
    <row r="433" spans="16:37" ht="15">
      <c r="P433" s="312">
        <f t="shared" si="100"/>
        <v>1.1389993009702826</v>
      </c>
      <c r="Q433" s="247">
        <v>428</v>
      </c>
      <c r="R433" s="299">
        <f t="shared" si="101"/>
        <v>0.007416666666666667</v>
      </c>
      <c r="S433" s="250">
        <v>1.2</v>
      </c>
      <c r="AA433" s="316">
        <f t="shared" si="88"/>
      </c>
      <c r="AB433" s="316">
        <f t="shared" si="89"/>
      </c>
      <c r="AC433" s="316">
        <f t="shared" si="90"/>
      </c>
      <c r="AD433" s="316">
        <f t="shared" si="91"/>
      </c>
      <c r="AE433" s="316">
        <f t="shared" si="92"/>
        <v>0.007416666666666667</v>
      </c>
      <c r="AG433" s="316">
        <f t="shared" si="93"/>
      </c>
      <c r="AH433" s="316">
        <f t="shared" si="94"/>
      </c>
      <c r="AI433" s="316">
        <f t="shared" si="95"/>
      </c>
      <c r="AJ433" s="316">
        <f t="shared" si="96"/>
      </c>
      <c r="AK433" s="316">
        <f t="shared" si="97"/>
        <v>1.2</v>
      </c>
    </row>
    <row r="434" spans="16:37" ht="15">
      <c r="P434" s="312">
        <f t="shared" si="100"/>
        <v>1.1460389494276684</v>
      </c>
      <c r="Q434" s="247">
        <v>429</v>
      </c>
      <c r="R434" s="299">
        <f t="shared" si="101"/>
        <v>0.007416666666666667</v>
      </c>
      <c r="S434" s="250">
        <v>1.2</v>
      </c>
      <c r="AA434" s="316">
        <f t="shared" si="88"/>
      </c>
      <c r="AB434" s="316">
        <f t="shared" si="89"/>
      </c>
      <c r="AC434" s="316">
        <f t="shared" si="90"/>
      </c>
      <c r="AD434" s="316">
        <f t="shared" si="91"/>
      </c>
      <c r="AE434" s="316">
        <f t="shared" si="92"/>
        <v>0.007416666666666667</v>
      </c>
      <c r="AG434" s="316">
        <f t="shared" si="93"/>
      </c>
      <c r="AH434" s="316">
        <f t="shared" si="94"/>
      </c>
      <c r="AI434" s="316">
        <f t="shared" si="95"/>
      </c>
      <c r="AJ434" s="316">
        <f t="shared" si="96"/>
      </c>
      <c r="AK434" s="316">
        <f t="shared" si="97"/>
        <v>1.2</v>
      </c>
    </row>
    <row r="435" spans="16:37" ht="15">
      <c r="P435" s="312">
        <f t="shared" si="100"/>
        <v>1.1531221068234365</v>
      </c>
      <c r="Q435" s="247">
        <v>430</v>
      </c>
      <c r="R435" s="299">
        <f t="shared" si="101"/>
        <v>0.007416666666666667</v>
      </c>
      <c r="S435" s="250">
        <v>1.2</v>
      </c>
      <c r="AA435" s="316">
        <f t="shared" si="88"/>
      </c>
      <c r="AB435" s="316">
        <f t="shared" si="89"/>
      </c>
      <c r="AC435" s="316">
        <f t="shared" si="90"/>
      </c>
      <c r="AD435" s="316">
        <f t="shared" si="91"/>
      </c>
      <c r="AE435" s="316">
        <f t="shared" si="92"/>
        <v>0.007416666666666667</v>
      </c>
      <c r="AG435" s="316">
        <f t="shared" si="93"/>
      </c>
      <c r="AH435" s="316">
        <f t="shared" si="94"/>
      </c>
      <c r="AI435" s="316">
        <f t="shared" si="95"/>
      </c>
      <c r="AJ435" s="316">
        <f t="shared" si="96"/>
      </c>
      <c r="AK435" s="316">
        <f t="shared" si="97"/>
        <v>1.2</v>
      </c>
    </row>
    <row r="436" spans="16:37" ht="15">
      <c r="P436" s="312">
        <f t="shared" si="100"/>
        <v>1.160249042066998</v>
      </c>
      <c r="Q436" s="247">
        <v>431</v>
      </c>
      <c r="R436" s="299">
        <f t="shared" si="101"/>
        <v>0.007416666666666667</v>
      </c>
      <c r="S436" s="250">
        <v>1.2</v>
      </c>
      <c r="AA436" s="316">
        <f t="shared" si="88"/>
      </c>
      <c r="AB436" s="316">
        <f t="shared" si="89"/>
      </c>
      <c r="AC436" s="316">
        <f t="shared" si="90"/>
      </c>
      <c r="AD436" s="316">
        <f t="shared" si="91"/>
      </c>
      <c r="AE436" s="316">
        <f t="shared" si="92"/>
        <v>0.007416666666666667</v>
      </c>
      <c r="AG436" s="316">
        <f t="shared" si="93"/>
      </c>
      <c r="AH436" s="316">
        <f t="shared" si="94"/>
      </c>
      <c r="AI436" s="316">
        <f t="shared" si="95"/>
      </c>
      <c r="AJ436" s="316">
        <f t="shared" si="96"/>
      </c>
      <c r="AK436" s="316">
        <f t="shared" si="97"/>
        <v>1.2</v>
      </c>
    </row>
    <row r="437" spans="16:37" ht="15">
      <c r="P437" s="312">
        <f t="shared" si="100"/>
        <v>1.167420025729773</v>
      </c>
      <c r="Q437" s="247">
        <v>432</v>
      </c>
      <c r="R437" s="299">
        <f t="shared" si="101"/>
        <v>0.007416666666666667</v>
      </c>
      <c r="S437" s="250">
        <v>1.2</v>
      </c>
      <c r="AA437" s="316">
        <f t="shared" si="88"/>
      </c>
      <c r="AB437" s="316">
        <f t="shared" si="89"/>
      </c>
      <c r="AC437" s="316">
        <f t="shared" si="90"/>
      </c>
      <c r="AD437" s="316">
        <f t="shared" si="91"/>
      </c>
      <c r="AE437" s="316">
        <f t="shared" si="92"/>
        <v>0.007416666666666667</v>
      </c>
      <c r="AG437" s="316">
        <f t="shared" si="93"/>
      </c>
      <c r="AH437" s="316">
        <f t="shared" si="94"/>
      </c>
      <c r="AI437" s="316">
        <f t="shared" si="95"/>
      </c>
      <c r="AJ437" s="316">
        <f t="shared" si="96"/>
      </c>
      <c r="AK437" s="316">
        <f t="shared" si="97"/>
        <v>1.2</v>
      </c>
    </row>
    <row r="438" spans="16:37" ht="15">
      <c r="P438" s="312">
        <f t="shared" si="100"/>
        <v>1.1746353300554642</v>
      </c>
      <c r="Q438" s="247">
        <v>433</v>
      </c>
      <c r="R438" s="299">
        <f t="shared" si="101"/>
        <v>0.007416666666666667</v>
      </c>
      <c r="S438" s="250">
        <v>1.2</v>
      </c>
      <c r="AA438" s="316">
        <f t="shared" si="88"/>
      </c>
      <c r="AB438" s="316">
        <f t="shared" si="89"/>
      </c>
      <c r="AC438" s="316">
        <f t="shared" si="90"/>
      </c>
      <c r="AD438" s="316">
        <f t="shared" si="91"/>
      </c>
      <c r="AE438" s="316">
        <f t="shared" si="92"/>
        <v>0.007416666666666667</v>
      </c>
      <c r="AG438" s="316">
        <f t="shared" si="93"/>
      </c>
      <c r="AH438" s="316">
        <f t="shared" si="94"/>
      </c>
      <c r="AI438" s="316">
        <f t="shared" si="95"/>
      </c>
      <c r="AJ438" s="316">
        <f t="shared" si="96"/>
      </c>
      <c r="AK438" s="316">
        <f t="shared" si="97"/>
        <v>1.2</v>
      </c>
    </row>
    <row r="439" spans="16:37" ht="15">
      <c r="P439" s="312">
        <f t="shared" si="100"/>
        <v>1.1818952289703903</v>
      </c>
      <c r="Q439" s="247">
        <v>434</v>
      </c>
      <c r="R439" s="299">
        <f t="shared" si="101"/>
        <v>0.007416666666666667</v>
      </c>
      <c r="S439" s="250">
        <v>1.2</v>
      </c>
      <c r="AA439" s="316">
        <f t="shared" si="88"/>
      </c>
      <c r="AB439" s="316">
        <f t="shared" si="89"/>
      </c>
      <c r="AC439" s="316">
        <f t="shared" si="90"/>
      </c>
      <c r="AD439" s="316">
        <f t="shared" si="91"/>
      </c>
      <c r="AE439" s="316">
        <f t="shared" si="92"/>
        <v>0.007416666666666667</v>
      </c>
      <c r="AG439" s="316">
        <f t="shared" si="93"/>
      </c>
      <c r="AH439" s="316">
        <f t="shared" si="94"/>
      </c>
      <c r="AI439" s="316">
        <f t="shared" si="95"/>
      </c>
      <c r="AJ439" s="316">
        <f t="shared" si="96"/>
      </c>
      <c r="AK439" s="316">
        <f t="shared" si="97"/>
        <v>1.2</v>
      </c>
    </row>
    <row r="440" spans="16:37" ht="15">
      <c r="P440" s="312">
        <f t="shared" si="100"/>
        <v>1.1891999980938879</v>
      </c>
      <c r="Q440" s="247">
        <v>435</v>
      </c>
      <c r="R440" s="299">
        <f t="shared" si="101"/>
        <v>0.007416666666666667</v>
      </c>
      <c r="S440" s="250">
        <v>1.2</v>
      </c>
      <c r="AA440" s="316">
        <f t="shared" si="88"/>
      </c>
      <c r="AB440" s="316">
        <f t="shared" si="89"/>
      </c>
      <c r="AC440" s="316">
        <f t="shared" si="90"/>
      </c>
      <c r="AD440" s="316">
        <f t="shared" si="91"/>
      </c>
      <c r="AE440" s="316">
        <f t="shared" si="92"/>
        <v>0.007416666666666667</v>
      </c>
      <c r="AG440" s="316">
        <f t="shared" si="93"/>
      </c>
      <c r="AH440" s="316">
        <f t="shared" si="94"/>
      </c>
      <c r="AI440" s="316">
        <f t="shared" si="95"/>
      </c>
      <c r="AJ440" s="316">
        <f t="shared" si="96"/>
      </c>
      <c r="AK440" s="316">
        <f t="shared" si="97"/>
        <v>1.2</v>
      </c>
    </row>
    <row r="441" spans="16:37" ht="15">
      <c r="P441" s="312">
        <f t="shared" si="100"/>
        <v>1.1965499147487737</v>
      </c>
      <c r="Q441" s="247">
        <v>436</v>
      </c>
      <c r="R441" s="299">
        <f t="shared" si="101"/>
        <v>0.007416666666666667</v>
      </c>
      <c r="S441" s="250">
        <v>1.2</v>
      </c>
      <c r="AA441" s="316">
        <f t="shared" si="88"/>
      </c>
      <c r="AB441" s="316">
        <f t="shared" si="89"/>
      </c>
      <c r="AC441" s="316">
        <f t="shared" si="90"/>
      </c>
      <c r="AD441" s="316">
        <f t="shared" si="91"/>
      </c>
      <c r="AE441" s="316">
        <f t="shared" si="92"/>
        <v>0.007416666666666667</v>
      </c>
      <c r="AG441" s="316">
        <f t="shared" si="93"/>
      </c>
      <c r="AH441" s="316">
        <f t="shared" si="94"/>
      </c>
      <c r="AI441" s="316">
        <f t="shared" si="95"/>
      </c>
      <c r="AJ441" s="316">
        <f t="shared" si="96"/>
      </c>
      <c r="AK441" s="316">
        <f t="shared" si="97"/>
        <v>1.2</v>
      </c>
    </row>
    <row r="442" spans="16:37" ht="15">
      <c r="P442" s="312">
        <f t="shared" si="100"/>
        <v>1.2039452579718737</v>
      </c>
      <c r="Q442" s="247">
        <v>437</v>
      </c>
      <c r="R442" s="299">
        <f t="shared" si="101"/>
        <v>0.007416666666666667</v>
      </c>
      <c r="S442" s="250">
        <v>1.2</v>
      </c>
      <c r="AA442" s="316">
        <f t="shared" si="88"/>
      </c>
      <c r="AB442" s="316">
        <f t="shared" si="89"/>
      </c>
      <c r="AC442" s="316">
        <f t="shared" si="90"/>
      </c>
      <c r="AD442" s="316">
        <f t="shared" si="91"/>
      </c>
      <c r="AE442" s="316">
        <f t="shared" si="92"/>
        <v>0.007416666666666667</v>
      </c>
      <c r="AG442" s="316">
        <f t="shared" si="93"/>
      </c>
      <c r="AH442" s="316">
        <f t="shared" si="94"/>
      </c>
      <c r="AI442" s="316">
        <f t="shared" si="95"/>
      </c>
      <c r="AJ442" s="316">
        <f t="shared" si="96"/>
      </c>
      <c r="AK442" s="316">
        <f t="shared" si="97"/>
        <v>1.2</v>
      </c>
    </row>
    <row r="443" spans="16:37" ht="15">
      <c r="P443" s="312">
        <f t="shared" si="100"/>
        <v>1.2113863085246166</v>
      </c>
      <c r="Q443" s="247">
        <v>438</v>
      </c>
      <c r="R443" s="299">
        <f t="shared" si="101"/>
        <v>0.007416666666666667</v>
      </c>
      <c r="S443" s="250">
        <v>1.2</v>
      </c>
      <c r="AA443" s="316">
        <f t="shared" si="88"/>
      </c>
      <c r="AB443" s="316">
        <f t="shared" si="89"/>
      </c>
      <c r="AC443" s="316">
        <f t="shared" si="90"/>
      </c>
      <c r="AD443" s="316">
        <f t="shared" si="91"/>
      </c>
      <c r="AE443" s="316">
        <f t="shared" si="92"/>
        <v>0.007416666666666667</v>
      </c>
      <c r="AG443" s="316">
        <f t="shared" si="93"/>
      </c>
      <c r="AH443" s="316">
        <f t="shared" si="94"/>
      </c>
      <c r="AI443" s="316">
        <f t="shared" si="95"/>
      </c>
      <c r="AJ443" s="316">
        <f t="shared" si="96"/>
      </c>
      <c r="AK443" s="316">
        <f t="shared" si="97"/>
        <v>1.2</v>
      </c>
    </row>
    <row r="444" spans="16:37" ht="15">
      <c r="P444" s="312">
        <f t="shared" si="100"/>
        <v>1.2188733489036923</v>
      </c>
      <c r="Q444" s="247">
        <v>439</v>
      </c>
      <c r="R444" s="299">
        <f t="shared" si="101"/>
        <v>0.007416666666666667</v>
      </c>
      <c r="S444" s="250">
        <v>1.2</v>
      </c>
      <c r="AA444" s="316">
        <f t="shared" si="88"/>
      </c>
      <c r="AB444" s="316">
        <f t="shared" si="89"/>
      </c>
      <c r="AC444" s="316">
        <f t="shared" si="90"/>
      </c>
      <c r="AD444" s="316">
        <f t="shared" si="91"/>
      </c>
      <c r="AE444" s="316">
        <f t="shared" si="92"/>
        <v>0.007416666666666667</v>
      </c>
      <c r="AG444" s="316">
        <f t="shared" si="93"/>
      </c>
      <c r="AH444" s="316">
        <f t="shared" si="94"/>
      </c>
      <c r="AI444" s="316">
        <f t="shared" si="95"/>
      </c>
      <c r="AJ444" s="316">
        <f t="shared" si="96"/>
      </c>
      <c r="AK444" s="316">
        <f t="shared" si="97"/>
        <v>1.2</v>
      </c>
    </row>
    <row r="445" spans="16:37" ht="15">
      <c r="P445" s="312">
        <f t="shared" si="100"/>
        <v>1.2264066633517776</v>
      </c>
      <c r="Q445" s="247">
        <v>440</v>
      </c>
      <c r="R445" s="299">
        <f t="shared" si="101"/>
        <v>0.007416666666666667</v>
      </c>
      <c r="S445" s="250">
        <v>1.2</v>
      </c>
      <c r="AA445" s="316">
        <f t="shared" si="88"/>
      </c>
      <c r="AB445" s="316">
        <f t="shared" si="89"/>
      </c>
      <c r="AC445" s="316">
        <f t="shared" si="90"/>
      </c>
      <c r="AD445" s="316">
        <f t="shared" si="91"/>
      </c>
      <c r="AE445" s="316">
        <f t="shared" si="92"/>
        <v>0.007416666666666667</v>
      </c>
      <c r="AG445" s="316">
        <f t="shared" si="93"/>
      </c>
      <c r="AH445" s="316">
        <f t="shared" si="94"/>
      </c>
      <c r="AI445" s="316">
        <f t="shared" si="95"/>
      </c>
      <c r="AJ445" s="316">
        <f t="shared" si="96"/>
      </c>
      <c r="AK445" s="316">
        <f t="shared" si="97"/>
        <v>1.2</v>
      </c>
    </row>
    <row r="446" spans="16:37" ht="15">
      <c r="P446" s="312">
        <f t="shared" si="100"/>
        <v>1.2339865378683268</v>
      </c>
      <c r="Q446" s="247">
        <v>441</v>
      </c>
      <c r="R446" s="299">
        <f t="shared" si="101"/>
        <v>0.007416666666666667</v>
      </c>
      <c r="S446" s="250">
        <v>1.2</v>
      </c>
      <c r="AA446" s="316">
        <f t="shared" si="88"/>
      </c>
      <c r="AB446" s="316">
        <f t="shared" si="89"/>
      </c>
      <c r="AC446" s="316">
        <f t="shared" si="90"/>
      </c>
      <c r="AD446" s="316">
        <f t="shared" si="91"/>
      </c>
      <c r="AE446" s="316">
        <f t="shared" si="92"/>
        <v>0.007416666666666667</v>
      </c>
      <c r="AG446" s="316">
        <f t="shared" si="93"/>
      </c>
      <c r="AH446" s="316">
        <f t="shared" si="94"/>
      </c>
      <c r="AI446" s="316">
        <f t="shared" si="95"/>
      </c>
      <c r="AJ446" s="316">
        <f t="shared" si="96"/>
      </c>
      <c r="AK446" s="316">
        <f t="shared" si="97"/>
        <v>1.2</v>
      </c>
    </row>
    <row r="447" spans="16:37" ht="15">
      <c r="P447" s="312">
        <f t="shared" si="100"/>
        <v>1.2416132602204297</v>
      </c>
      <c r="Q447" s="247">
        <v>442</v>
      </c>
      <c r="R447" s="299">
        <f t="shared" si="101"/>
        <v>0.007416666666666667</v>
      </c>
      <c r="S447" s="250">
        <v>1.2</v>
      </c>
      <c r="AA447" s="316">
        <f t="shared" si="88"/>
      </c>
      <c r="AB447" s="316">
        <f t="shared" si="89"/>
      </c>
      <c r="AC447" s="316">
        <f t="shared" si="90"/>
      </c>
      <c r="AD447" s="316">
        <f t="shared" si="91"/>
      </c>
      <c r="AE447" s="316">
        <f t="shared" si="92"/>
        <v>0.007416666666666667</v>
      </c>
      <c r="AG447" s="316">
        <f t="shared" si="93"/>
      </c>
      <c r="AH447" s="316">
        <f t="shared" si="94"/>
      </c>
      <c r="AI447" s="316">
        <f t="shared" si="95"/>
      </c>
      <c r="AJ447" s="316">
        <f t="shared" si="96"/>
      </c>
      <c r="AK447" s="316">
        <f t="shared" si="97"/>
        <v>1.2</v>
      </c>
    </row>
    <row r="448" spans="16:37" ht="15">
      <c r="P448" s="312">
        <f t="shared" si="100"/>
        <v>1.2492871199537365</v>
      </c>
      <c r="Q448" s="247">
        <v>443</v>
      </c>
      <c r="R448" s="299">
        <f t="shared" si="101"/>
        <v>0.007416666666666667</v>
      </c>
      <c r="S448" s="250">
        <v>1.2</v>
      </c>
      <c r="AA448" s="316">
        <f t="shared" si="88"/>
      </c>
      <c r="AB448" s="316">
        <f t="shared" si="89"/>
      </c>
      <c r="AC448" s="316">
        <f t="shared" si="90"/>
      </c>
      <c r="AD448" s="316">
        <f t="shared" si="91"/>
      </c>
      <c r="AE448" s="316">
        <f t="shared" si="92"/>
        <v>0.007416666666666667</v>
      </c>
      <c r="AG448" s="316">
        <f t="shared" si="93"/>
      </c>
      <c r="AH448" s="316">
        <f t="shared" si="94"/>
      </c>
      <c r="AI448" s="316">
        <f t="shared" si="95"/>
      </c>
      <c r="AJ448" s="316">
        <f t="shared" si="96"/>
      </c>
      <c r="AK448" s="316">
        <f t="shared" si="97"/>
        <v>1.2</v>
      </c>
    </row>
    <row r="449" spans="16:37" ht="15">
      <c r="P449" s="312">
        <f t="shared" si="100"/>
        <v>1.2570084084034505</v>
      </c>
      <c r="Q449" s="247">
        <v>444</v>
      </c>
      <c r="R449" s="299">
        <f t="shared" si="101"/>
        <v>0.007416666666666667</v>
      </c>
      <c r="S449" s="250">
        <v>1.2</v>
      </c>
      <c r="AA449" s="316">
        <f t="shared" si="88"/>
      </c>
      <c r="AB449" s="316">
        <f t="shared" si="89"/>
      </c>
      <c r="AC449" s="316">
        <f t="shared" si="90"/>
      </c>
      <c r="AD449" s="316">
        <f t="shared" si="91"/>
      </c>
      <c r="AE449" s="316">
        <f t="shared" si="92"/>
        <v>0.007416666666666667</v>
      </c>
      <c r="AG449" s="316">
        <f t="shared" si="93"/>
      </c>
      <c r="AH449" s="316">
        <f t="shared" si="94"/>
      </c>
      <c r="AI449" s="316">
        <f t="shared" si="95"/>
      </c>
      <c r="AJ449" s="316">
        <f t="shared" si="96"/>
      </c>
      <c r="AK449" s="316">
        <f t="shared" si="97"/>
        <v>1.2</v>
      </c>
    </row>
    <row r="450" spans="16:37" ht="15">
      <c r="P450" s="312">
        <f t="shared" si="100"/>
        <v>1.2647774187053884</v>
      </c>
      <c r="Q450" s="247">
        <v>445</v>
      </c>
      <c r="R450" s="299">
        <f t="shared" si="101"/>
        <v>0.007416666666666667</v>
      </c>
      <c r="S450" s="250">
        <v>1.2</v>
      </c>
      <c r="AA450" s="316">
        <f t="shared" si="88"/>
      </c>
      <c r="AB450" s="316">
        <f t="shared" si="89"/>
      </c>
      <c r="AC450" s="316">
        <f t="shared" si="90"/>
      </c>
      <c r="AD450" s="316">
        <f t="shared" si="91"/>
      </c>
      <c r="AE450" s="316">
        <f t="shared" si="92"/>
        <v>0.007416666666666667</v>
      </c>
      <c r="AG450" s="316">
        <f t="shared" si="93"/>
      </c>
      <c r="AH450" s="316">
        <f t="shared" si="94"/>
      </c>
      <c r="AI450" s="316">
        <f t="shared" si="95"/>
      </c>
      <c r="AJ450" s="316">
        <f t="shared" si="96"/>
      </c>
      <c r="AK450" s="316">
        <f t="shared" si="97"/>
        <v>1.2</v>
      </c>
    </row>
    <row r="451" spans="16:37" ht="15">
      <c r="P451" s="312">
        <f t="shared" si="100"/>
        <v>1.2725944458071092</v>
      </c>
      <c r="Q451" s="247">
        <v>446</v>
      </c>
      <c r="R451" s="299">
        <f t="shared" si="101"/>
        <v>0.007416666666666667</v>
      </c>
      <c r="S451" s="250">
        <v>1.2</v>
      </c>
      <c r="AA451" s="316">
        <f t="shared" si="88"/>
      </c>
      <c r="AB451" s="316">
        <f t="shared" si="89"/>
      </c>
      <c r="AC451" s="316">
        <f t="shared" si="90"/>
      </c>
      <c r="AD451" s="316">
        <f t="shared" si="91"/>
      </c>
      <c r="AE451" s="316">
        <f t="shared" si="92"/>
        <v>0.007416666666666667</v>
      </c>
      <c r="AG451" s="316">
        <f t="shared" si="93"/>
      </c>
      <c r="AH451" s="316">
        <f t="shared" si="94"/>
      </c>
      <c r="AI451" s="316">
        <f t="shared" si="95"/>
      </c>
      <c r="AJ451" s="316">
        <f t="shared" si="96"/>
      </c>
      <c r="AK451" s="316">
        <f t="shared" si="97"/>
        <v>1.2</v>
      </c>
    </row>
    <row r="452" spans="16:37" ht="15">
      <c r="P452" s="312">
        <f t="shared" si="100"/>
        <v>1.2804597864791114</v>
      </c>
      <c r="Q452" s="247">
        <v>447</v>
      </c>
      <c r="R452" s="299">
        <f t="shared" si="101"/>
        <v>0.007416666666666667</v>
      </c>
      <c r="S452" s="250">
        <v>1.2</v>
      </c>
      <c r="AA452" s="316">
        <f t="shared" si="88"/>
      </c>
      <c r="AB452" s="316">
        <f t="shared" si="89"/>
      </c>
      <c r="AC452" s="316">
        <f t="shared" si="90"/>
      </c>
      <c r="AD452" s="316">
        <f t="shared" si="91"/>
      </c>
      <c r="AE452" s="316">
        <f t="shared" si="92"/>
        <v>0.007416666666666667</v>
      </c>
      <c r="AG452" s="316">
        <f t="shared" si="93"/>
      </c>
      <c r="AH452" s="316">
        <f t="shared" si="94"/>
      </c>
      <c r="AI452" s="316">
        <f t="shared" si="95"/>
      </c>
      <c r="AJ452" s="316">
        <f t="shared" si="96"/>
      </c>
      <c r="AK452" s="316">
        <f t="shared" si="97"/>
        <v>1.2</v>
      </c>
    </row>
    <row r="453" spans="16:37" ht="15">
      <c r="P453" s="312">
        <f t="shared" si="100"/>
        <v>1.2883737393261003</v>
      </c>
      <c r="Q453" s="247">
        <v>448</v>
      </c>
      <c r="R453" s="299">
        <f t="shared" si="101"/>
        <v>0.007416666666666667</v>
      </c>
      <c r="S453" s="250">
        <v>1.2</v>
      </c>
      <c r="AA453" s="316">
        <f t="shared" si="88"/>
      </c>
      <c r="AB453" s="316">
        <f t="shared" si="89"/>
      </c>
      <c r="AC453" s="316">
        <f t="shared" si="90"/>
      </c>
      <c r="AD453" s="316">
        <f t="shared" si="91"/>
      </c>
      <c r="AE453" s="316">
        <f t="shared" si="92"/>
        <v>0.007416666666666667</v>
      </c>
      <c r="AG453" s="316">
        <f t="shared" si="93"/>
      </c>
      <c r="AH453" s="316">
        <f t="shared" si="94"/>
      </c>
      <c r="AI453" s="316">
        <f t="shared" si="95"/>
      </c>
      <c r="AJ453" s="316">
        <f t="shared" si="96"/>
      </c>
      <c r="AK453" s="316">
        <f t="shared" si="97"/>
        <v>1.2</v>
      </c>
    </row>
    <row r="454" spans="16:37" ht="15">
      <c r="P454" s="312">
        <f t="shared" si="100"/>
        <v>1.2963366047983242</v>
      </c>
      <c r="Q454" s="247">
        <v>449</v>
      </c>
      <c r="R454" s="299">
        <f t="shared" si="101"/>
        <v>0.007416666666666667</v>
      </c>
      <c r="S454" s="250">
        <v>1.2</v>
      </c>
      <c r="AA454" s="316">
        <f aca="true" t="shared" si="102" ref="AA454:AA517">IF(P454&gt;=$F$17,IF(P454&lt;$F$18,R454,""),"")</f>
      </c>
      <c r="AB454" s="316">
        <f aca="true" t="shared" si="103" ref="AB454:AB517">IF(P454&gt;=$G$17,IF(P454&lt;$G$18,R454,""),"")</f>
      </c>
      <c r="AC454" s="316">
        <f aca="true" t="shared" si="104" ref="AC454:AC517">IF(P454&gt;=$H$17,IF(P454&lt;$H$18,R454,""),"")</f>
      </c>
      <c r="AD454" s="316">
        <f aca="true" t="shared" si="105" ref="AD454:AD517">IF(P454&gt;=$I$17,IF(P454&lt;$I$18,R454,""),"")</f>
      </c>
      <c r="AE454" s="316">
        <f aca="true" t="shared" si="106" ref="AE454:AE517">IF(P454&gt;=$J$17,IF(P454&lt;$J$18,R454,""),"")</f>
        <v>0.007416666666666667</v>
      </c>
      <c r="AG454" s="316">
        <f t="shared" si="93"/>
      </c>
      <c r="AH454" s="316">
        <f t="shared" si="94"/>
      </c>
      <c r="AI454" s="316">
        <f t="shared" si="95"/>
      </c>
      <c r="AJ454" s="316">
        <f t="shared" si="96"/>
      </c>
      <c r="AK454" s="316">
        <f t="shared" si="97"/>
        <v>1.2</v>
      </c>
    </row>
    <row r="455" spans="16:37" ht="15">
      <c r="P455" s="312">
        <f t="shared" si="100"/>
        <v>1.3043486852029806</v>
      </c>
      <c r="Q455" s="247">
        <v>450</v>
      </c>
      <c r="R455" s="299">
        <f t="shared" si="101"/>
        <v>0.007416666666666667</v>
      </c>
      <c r="S455" s="250">
        <v>1.2</v>
      </c>
      <c r="AA455" s="316">
        <f t="shared" si="102"/>
      </c>
      <c r="AB455" s="316">
        <f t="shared" si="103"/>
      </c>
      <c r="AC455" s="316">
        <f t="shared" si="104"/>
      </c>
      <c r="AD455" s="316">
        <f t="shared" si="105"/>
      </c>
      <c r="AE455" s="316">
        <f t="shared" si="106"/>
        <v>0.007416666666666667</v>
      </c>
      <c r="AG455" s="316">
        <f aca="true" t="shared" si="107" ref="AG455:AG518">IF(P455&gt;=$F$17,IF(P455&lt;$F$18,S455,""),"")</f>
      </c>
      <c r="AH455" s="316">
        <f aca="true" t="shared" si="108" ref="AH455:AH518">IF(P455&gt;=$G$17,IF(P455&lt;$G$18,S455,""),"")</f>
      </c>
      <c r="AI455" s="316">
        <f aca="true" t="shared" si="109" ref="AI455:AI518">IF(P455&gt;=$H$17,IF(P455&lt;$H$18,S455,""),"")</f>
      </c>
      <c r="AJ455" s="316">
        <f aca="true" t="shared" si="110" ref="AJ455:AJ518">IF(P455&gt;=$I$17,IF(P455&lt;$I$18,S455,""),"")</f>
      </c>
      <c r="AK455" s="316">
        <f aca="true" t="shared" si="111" ref="AK455:AK518">IF(P455&gt;=$J$17,IF(P455&lt;$J$18,S455,""),"")</f>
        <v>1.2</v>
      </c>
    </row>
    <row r="456" spans="16:37" ht="15">
      <c r="P456" s="312">
        <f t="shared" si="100"/>
        <v>1.3124102847156935</v>
      </c>
      <c r="Q456" s="247">
        <v>451</v>
      </c>
      <c r="R456" s="299">
        <f t="shared" si="101"/>
        <v>0.007416666666666667</v>
      </c>
      <c r="S456" s="250">
        <v>1.2</v>
      </c>
      <c r="AA456" s="316">
        <f t="shared" si="102"/>
      </c>
      <c r="AB456" s="316">
        <f t="shared" si="103"/>
      </c>
      <c r="AC456" s="316">
        <f t="shared" si="104"/>
      </c>
      <c r="AD456" s="316">
        <f t="shared" si="105"/>
      </c>
      <c r="AE456" s="316">
        <f t="shared" si="106"/>
        <v>0.007416666666666667</v>
      </c>
      <c r="AG456" s="316">
        <f t="shared" si="107"/>
      </c>
      <c r="AH456" s="316">
        <f t="shared" si="108"/>
      </c>
      <c r="AI456" s="316">
        <f t="shared" si="109"/>
      </c>
      <c r="AJ456" s="316">
        <f t="shared" si="110"/>
      </c>
      <c r="AK456" s="316">
        <f t="shared" si="111"/>
        <v>1.2</v>
      </c>
    </row>
    <row r="457" spans="16:37" ht="15">
      <c r="P457" s="312">
        <f t="shared" si="100"/>
        <v>1.3205217093920614</v>
      </c>
      <c r="Q457" s="247">
        <v>452</v>
      </c>
      <c r="R457" s="299">
        <f t="shared" si="101"/>
        <v>0.007416666666666667</v>
      </c>
      <c r="S457" s="250">
        <v>1.2</v>
      </c>
      <c r="AA457" s="316">
        <f t="shared" si="102"/>
      </c>
      <c r="AB457" s="316">
        <f t="shared" si="103"/>
      </c>
      <c r="AC457" s="316">
        <f t="shared" si="104"/>
      </c>
      <c r="AD457" s="316">
        <f t="shared" si="105"/>
      </c>
      <c r="AE457" s="316">
        <f t="shared" si="106"/>
        <v>0.007416666666666667</v>
      </c>
      <c r="AG457" s="316">
        <f t="shared" si="107"/>
      </c>
      <c r="AH457" s="316">
        <f t="shared" si="108"/>
      </c>
      <c r="AI457" s="316">
        <f t="shared" si="109"/>
      </c>
      <c r="AJ457" s="316">
        <f t="shared" si="110"/>
      </c>
      <c r="AK457" s="316">
        <f t="shared" si="111"/>
        <v>1.2</v>
      </c>
    </row>
    <row r="458" spans="16:37" ht="15">
      <c r="P458" s="312">
        <f t="shared" si="100"/>
        <v>1.328683267179276</v>
      </c>
      <c r="Q458" s="247">
        <v>453</v>
      </c>
      <c r="R458" s="299">
        <f t="shared" si="101"/>
        <v>0.007416666666666667</v>
      </c>
      <c r="S458" s="250">
        <v>1.2</v>
      </c>
      <c r="AA458" s="316">
        <f t="shared" si="102"/>
      </c>
      <c r="AB458" s="316">
        <f t="shared" si="103"/>
      </c>
      <c r="AC458" s="316">
        <f t="shared" si="104"/>
      </c>
      <c r="AD458" s="316">
        <f t="shared" si="105"/>
      </c>
      <c r="AE458" s="316">
        <f t="shared" si="106"/>
        <v>0.007416666666666667</v>
      </c>
      <c r="AG458" s="316">
        <f t="shared" si="107"/>
      </c>
      <c r="AH458" s="316">
        <f t="shared" si="108"/>
      </c>
      <c r="AI458" s="316">
        <f t="shared" si="109"/>
      </c>
      <c r="AJ458" s="316">
        <f t="shared" si="110"/>
      </c>
      <c r="AK458" s="316">
        <f t="shared" si="111"/>
        <v>1.2</v>
      </c>
    </row>
    <row r="459" spans="16:37" ht="15">
      <c r="P459" s="312">
        <f t="shared" si="100"/>
        <v>1.3368952679278148</v>
      </c>
      <c r="Q459" s="247">
        <v>454</v>
      </c>
      <c r="R459" s="299">
        <f t="shared" si="101"/>
        <v>0.007416666666666667</v>
      </c>
      <c r="S459" s="250">
        <v>1.2</v>
      </c>
      <c r="AA459" s="316">
        <f t="shared" si="102"/>
      </c>
      <c r="AB459" s="316">
        <f t="shared" si="103"/>
      </c>
      <c r="AC459" s="316">
        <f t="shared" si="104"/>
      </c>
      <c r="AD459" s="316">
        <f t="shared" si="105"/>
      </c>
      <c r="AE459" s="316">
        <f t="shared" si="106"/>
        <v>0.007416666666666667</v>
      </c>
      <c r="AG459" s="316">
        <f t="shared" si="107"/>
      </c>
      <c r="AH459" s="316">
        <f t="shared" si="108"/>
      </c>
      <c r="AI459" s="316">
        <f t="shared" si="109"/>
      </c>
      <c r="AJ459" s="316">
        <f t="shared" si="110"/>
      </c>
      <c r="AK459" s="316">
        <f t="shared" si="111"/>
        <v>1.2</v>
      </c>
    </row>
    <row r="460" spans="16:37" ht="15">
      <c r="P460" s="312">
        <f aca="true" t="shared" si="112" ref="P460:P523">P459+(P459*R459)/S459</f>
        <v>1.345158023403202</v>
      </c>
      <c r="Q460" s="247">
        <v>455</v>
      </c>
      <c r="R460" s="299">
        <f t="shared" si="101"/>
        <v>0.007416666666666667</v>
      </c>
      <c r="S460" s="250">
        <v>1.2</v>
      </c>
      <c r="AA460" s="316">
        <f t="shared" si="102"/>
      </c>
      <c r="AB460" s="316">
        <f t="shared" si="103"/>
      </c>
      <c r="AC460" s="316">
        <f t="shared" si="104"/>
      </c>
      <c r="AD460" s="316">
        <f t="shared" si="105"/>
      </c>
      <c r="AE460" s="316">
        <f t="shared" si="106"/>
        <v>0.007416666666666667</v>
      </c>
      <c r="AG460" s="316">
        <f t="shared" si="107"/>
      </c>
      <c r="AH460" s="316">
        <f t="shared" si="108"/>
      </c>
      <c r="AI460" s="316">
        <f t="shared" si="109"/>
      </c>
      <c r="AJ460" s="316">
        <f t="shared" si="110"/>
      </c>
      <c r="AK460" s="316">
        <f t="shared" si="111"/>
        <v>1.2</v>
      </c>
    </row>
    <row r="461" spans="16:37" ht="15">
      <c r="P461" s="312">
        <f t="shared" si="112"/>
        <v>1.3534718472978466</v>
      </c>
      <c r="Q461" s="247">
        <v>456</v>
      </c>
      <c r="R461" s="299">
        <f t="shared" si="101"/>
        <v>0.007416666666666667</v>
      </c>
      <c r="S461" s="250">
        <v>1.2</v>
      </c>
      <c r="AA461" s="316">
        <f t="shared" si="102"/>
      </c>
      <c r="AB461" s="316">
        <f t="shared" si="103"/>
      </c>
      <c r="AC461" s="316">
        <f t="shared" si="104"/>
      </c>
      <c r="AD461" s="316">
        <f t="shared" si="105"/>
      </c>
      <c r="AE461" s="316">
        <f t="shared" si="106"/>
        <v>0.007416666666666667</v>
      </c>
      <c r="AG461" s="316">
        <f t="shared" si="107"/>
      </c>
      <c r="AH461" s="316">
        <f t="shared" si="108"/>
      </c>
      <c r="AI461" s="316">
        <f t="shared" si="109"/>
      </c>
      <c r="AJ461" s="316">
        <f t="shared" si="110"/>
      </c>
      <c r="AK461" s="316">
        <f t="shared" si="111"/>
        <v>1.2</v>
      </c>
    </row>
    <row r="462" spans="16:37" ht="15">
      <c r="P462" s="312">
        <f t="shared" si="112"/>
        <v>1.3618370552429513</v>
      </c>
      <c r="Q462" s="247">
        <v>457</v>
      </c>
      <c r="R462" s="299">
        <f t="shared" si="101"/>
        <v>0.007416666666666667</v>
      </c>
      <c r="S462" s="250">
        <v>1.2</v>
      </c>
      <c r="AA462" s="316">
        <f t="shared" si="102"/>
      </c>
      <c r="AB462" s="316">
        <f t="shared" si="103"/>
      </c>
      <c r="AC462" s="316">
        <f t="shared" si="104"/>
      </c>
      <c r="AD462" s="316">
        <f t="shared" si="105"/>
      </c>
      <c r="AE462" s="316">
        <f t="shared" si="106"/>
        <v>0.007416666666666667</v>
      </c>
      <c r="AG462" s="316">
        <f t="shared" si="107"/>
      </c>
      <c r="AH462" s="316">
        <f t="shared" si="108"/>
      </c>
      <c r="AI462" s="316">
        <f t="shared" si="109"/>
      </c>
      <c r="AJ462" s="316">
        <f t="shared" si="110"/>
      </c>
      <c r="AK462" s="316">
        <f t="shared" si="111"/>
        <v>1.2</v>
      </c>
    </row>
    <row r="463" spans="16:37" ht="15">
      <c r="P463" s="312">
        <f t="shared" si="112"/>
        <v>1.3702539648204946</v>
      </c>
      <c r="Q463" s="247">
        <v>458</v>
      </c>
      <c r="R463" s="299">
        <f t="shared" si="101"/>
        <v>0.007416666666666667</v>
      </c>
      <c r="S463" s="250">
        <v>1.2</v>
      </c>
      <c r="AA463" s="316">
        <f t="shared" si="102"/>
      </c>
      <c r="AB463" s="316">
        <f t="shared" si="103"/>
      </c>
      <c r="AC463" s="316">
        <f t="shared" si="104"/>
      </c>
      <c r="AD463" s="316">
        <f t="shared" si="105"/>
      </c>
      <c r="AE463" s="316">
        <f t="shared" si="106"/>
        <v>0.007416666666666667</v>
      </c>
      <c r="AG463" s="316">
        <f t="shared" si="107"/>
      </c>
      <c r="AH463" s="316">
        <f t="shared" si="108"/>
      </c>
      <c r="AI463" s="316">
        <f t="shared" si="109"/>
      </c>
      <c r="AJ463" s="316">
        <f t="shared" si="110"/>
      </c>
      <c r="AK463" s="316">
        <f t="shared" si="111"/>
        <v>1.2</v>
      </c>
    </row>
    <row r="464" spans="16:37" ht="15">
      <c r="P464" s="312">
        <f t="shared" si="112"/>
        <v>1.378722895575288</v>
      </c>
      <c r="Q464" s="247">
        <v>459</v>
      </c>
      <c r="R464" s="299">
        <f t="shared" si="101"/>
        <v>0.007416666666666667</v>
      </c>
      <c r="S464" s="250">
        <v>1.2</v>
      </c>
      <c r="AA464" s="316">
        <f t="shared" si="102"/>
      </c>
      <c r="AB464" s="316">
        <f t="shared" si="103"/>
      </c>
      <c r="AC464" s="316">
        <f t="shared" si="104"/>
      </c>
      <c r="AD464" s="316">
        <f t="shared" si="105"/>
      </c>
      <c r="AE464" s="316">
        <f t="shared" si="106"/>
        <v>0.007416666666666667</v>
      </c>
      <c r="AG464" s="316">
        <f t="shared" si="107"/>
      </c>
      <c r="AH464" s="316">
        <f t="shared" si="108"/>
      </c>
      <c r="AI464" s="316">
        <f t="shared" si="109"/>
      </c>
      <c r="AJ464" s="316">
        <f t="shared" si="110"/>
      </c>
      <c r="AK464" s="316">
        <f t="shared" si="111"/>
        <v>1.2</v>
      </c>
    </row>
    <row r="465" spans="16:37" ht="15">
      <c r="P465" s="312">
        <f t="shared" si="112"/>
        <v>1.3872441690271073</v>
      </c>
      <c r="Q465" s="247">
        <v>460</v>
      </c>
      <c r="R465" s="299">
        <f t="shared" si="101"/>
        <v>0.007416666666666667</v>
      </c>
      <c r="S465" s="250">
        <v>1.2</v>
      </c>
      <c r="AA465" s="316">
        <f t="shared" si="102"/>
      </c>
      <c r="AB465" s="316">
        <f t="shared" si="103"/>
      </c>
      <c r="AC465" s="316">
        <f t="shared" si="104"/>
      </c>
      <c r="AD465" s="316">
        <f t="shared" si="105"/>
      </c>
      <c r="AE465" s="316">
        <f t="shared" si="106"/>
        <v>0.007416666666666667</v>
      </c>
      <c r="AG465" s="316">
        <f t="shared" si="107"/>
      </c>
      <c r="AH465" s="316">
        <f t="shared" si="108"/>
      </c>
      <c r="AI465" s="316">
        <f t="shared" si="109"/>
      </c>
      <c r="AJ465" s="316">
        <f t="shared" si="110"/>
      </c>
      <c r="AK465" s="316">
        <f t="shared" si="111"/>
        <v>1.2</v>
      </c>
    </row>
    <row r="466" spans="16:37" ht="15">
      <c r="P466" s="312">
        <f t="shared" si="112"/>
        <v>1.3958181086828998</v>
      </c>
      <c r="Q466" s="247">
        <v>461</v>
      </c>
      <c r="R466" s="299">
        <f t="shared" si="101"/>
        <v>0.007416666666666667</v>
      </c>
      <c r="S466" s="250">
        <v>1.2</v>
      </c>
      <c r="AA466" s="316">
        <f t="shared" si="102"/>
      </c>
      <c r="AB466" s="316">
        <f t="shared" si="103"/>
      </c>
      <c r="AC466" s="316">
        <f t="shared" si="104"/>
      </c>
      <c r="AD466" s="316">
        <f t="shared" si="105"/>
      </c>
      <c r="AE466" s="316">
        <f t="shared" si="106"/>
        <v>0.007416666666666667</v>
      </c>
      <c r="AG466" s="316">
        <f t="shared" si="107"/>
      </c>
      <c r="AH466" s="316">
        <f t="shared" si="108"/>
      </c>
      <c r="AI466" s="316">
        <f t="shared" si="109"/>
      </c>
      <c r="AJ466" s="316">
        <f t="shared" si="110"/>
      </c>
      <c r="AK466" s="316">
        <f t="shared" si="111"/>
        <v>1.2</v>
      </c>
    </row>
    <row r="467" spans="16:37" ht="15">
      <c r="P467" s="312">
        <f t="shared" si="112"/>
        <v>1.404445040049065</v>
      </c>
      <c r="Q467" s="247">
        <v>462</v>
      </c>
      <c r="R467" s="299">
        <f t="shared" si="101"/>
        <v>0.007416666666666667</v>
      </c>
      <c r="S467" s="250">
        <v>1.2</v>
      </c>
      <c r="AA467" s="316">
        <f t="shared" si="102"/>
      </c>
      <c r="AB467" s="316">
        <f t="shared" si="103"/>
      </c>
      <c r="AC467" s="316">
        <f t="shared" si="104"/>
      </c>
      <c r="AD467" s="316">
        <f t="shared" si="105"/>
      </c>
      <c r="AE467" s="316">
        <f t="shared" si="106"/>
        <v>0.007416666666666667</v>
      </c>
      <c r="AG467" s="316">
        <f t="shared" si="107"/>
      </c>
      <c r="AH467" s="316">
        <f t="shared" si="108"/>
      </c>
      <c r="AI467" s="316">
        <f t="shared" si="109"/>
      </c>
      <c r="AJ467" s="316">
        <f t="shared" si="110"/>
      </c>
      <c r="AK467" s="316">
        <f t="shared" si="111"/>
        <v>1.2</v>
      </c>
    </row>
    <row r="468" spans="16:37" ht="15">
      <c r="P468" s="312">
        <f t="shared" si="112"/>
        <v>1.4131252906438125</v>
      </c>
      <c r="Q468" s="247">
        <v>463</v>
      </c>
      <c r="R468" s="299">
        <f t="shared" si="101"/>
        <v>0.007416666666666667</v>
      </c>
      <c r="S468" s="250">
        <v>1.2</v>
      </c>
      <c r="AA468" s="316">
        <f t="shared" si="102"/>
      </c>
      <c r="AB468" s="316">
        <f t="shared" si="103"/>
      </c>
      <c r="AC468" s="316">
        <f t="shared" si="104"/>
      </c>
      <c r="AD468" s="316">
        <f t="shared" si="105"/>
      </c>
      <c r="AE468" s="316">
        <f t="shared" si="106"/>
        <v>0.007416666666666667</v>
      </c>
      <c r="AG468" s="316">
        <f t="shared" si="107"/>
      </c>
      <c r="AH468" s="316">
        <f t="shared" si="108"/>
      </c>
      <c r="AI468" s="316">
        <f t="shared" si="109"/>
      </c>
      <c r="AJ468" s="316">
        <f t="shared" si="110"/>
      </c>
      <c r="AK468" s="316">
        <f t="shared" si="111"/>
        <v>1.2</v>
      </c>
    </row>
    <row r="469" spans="16:37" ht="15">
      <c r="P469" s="312">
        <f t="shared" si="112"/>
        <v>1.4218591900095972</v>
      </c>
      <c r="Q469" s="247">
        <v>464</v>
      </c>
      <c r="R469" s="299">
        <f t="shared" si="101"/>
        <v>0.007416666666666667</v>
      </c>
      <c r="S469" s="250">
        <v>1.2</v>
      </c>
      <c r="AA469" s="316">
        <f t="shared" si="102"/>
      </c>
      <c r="AB469" s="316">
        <f t="shared" si="103"/>
      </c>
      <c r="AC469" s="316">
        <f t="shared" si="104"/>
      </c>
      <c r="AD469" s="316">
        <f t="shared" si="105"/>
      </c>
      <c r="AE469" s="316">
        <f t="shared" si="106"/>
        <v>0.007416666666666667</v>
      </c>
      <c r="AG469" s="316">
        <f t="shared" si="107"/>
      </c>
      <c r="AH469" s="316">
        <f t="shared" si="108"/>
      </c>
      <c r="AI469" s="316">
        <f t="shared" si="109"/>
      </c>
      <c r="AJ469" s="316">
        <f t="shared" si="110"/>
      </c>
      <c r="AK469" s="316">
        <f t="shared" si="111"/>
        <v>1.2</v>
      </c>
    </row>
    <row r="470" spans="16:37" ht="15">
      <c r="P470" s="312">
        <f t="shared" si="112"/>
        <v>1.4306470697256286</v>
      </c>
      <c r="Q470" s="247">
        <v>465</v>
      </c>
      <c r="R470" s="299">
        <f t="shared" si="101"/>
        <v>0.007416666666666667</v>
      </c>
      <c r="S470" s="250">
        <v>1.2</v>
      </c>
      <c r="AA470" s="316">
        <f t="shared" si="102"/>
      </c>
      <c r="AB470" s="316">
        <f t="shared" si="103"/>
      </c>
      <c r="AC470" s="316">
        <f t="shared" si="104"/>
      </c>
      <c r="AD470" s="316">
        <f t="shared" si="105"/>
      </c>
      <c r="AE470" s="316">
        <f t="shared" si="106"/>
        <v>0.007416666666666667</v>
      </c>
      <c r="AG470" s="316">
        <f t="shared" si="107"/>
      </c>
      <c r="AH470" s="316">
        <f t="shared" si="108"/>
      </c>
      <c r="AI470" s="316">
        <f t="shared" si="109"/>
      </c>
      <c r="AJ470" s="316">
        <f t="shared" si="110"/>
      </c>
      <c r="AK470" s="316">
        <f t="shared" si="111"/>
        <v>1.2</v>
      </c>
    </row>
    <row r="471" spans="16:37" ht="15">
      <c r="P471" s="312">
        <f t="shared" si="112"/>
        <v>1.4394892634204606</v>
      </c>
      <c r="Q471" s="247">
        <v>466</v>
      </c>
      <c r="R471" s="299">
        <f t="shared" si="101"/>
        <v>0.007416666666666667</v>
      </c>
      <c r="S471" s="250">
        <v>1.2</v>
      </c>
      <c r="AA471" s="316">
        <f t="shared" si="102"/>
      </c>
      <c r="AB471" s="316">
        <f t="shared" si="103"/>
      </c>
      <c r="AC471" s="316">
        <f t="shared" si="104"/>
      </c>
      <c r="AD471" s="316">
        <f t="shared" si="105"/>
      </c>
      <c r="AE471" s="316">
        <f t="shared" si="106"/>
        <v>0.007416666666666667</v>
      </c>
      <c r="AG471" s="316">
        <f t="shared" si="107"/>
      </c>
      <c r="AH471" s="316">
        <f t="shared" si="108"/>
      </c>
      <c r="AI471" s="316">
        <f t="shared" si="109"/>
      </c>
      <c r="AJ471" s="316">
        <f t="shared" si="110"/>
      </c>
      <c r="AK471" s="316">
        <f t="shared" si="111"/>
        <v>1.2</v>
      </c>
    </row>
    <row r="472" spans="16:37" ht="15">
      <c r="P472" s="312">
        <f t="shared" si="112"/>
        <v>1.4483861067846564</v>
      </c>
      <c r="Q472" s="247">
        <v>467</v>
      </c>
      <c r="R472" s="299">
        <f t="shared" si="101"/>
        <v>0.007416666666666667</v>
      </c>
      <c r="S472" s="250">
        <v>1.2</v>
      </c>
      <c r="AA472" s="316">
        <f t="shared" si="102"/>
      </c>
      <c r="AB472" s="316">
        <f t="shared" si="103"/>
      </c>
      <c r="AC472" s="316">
        <f t="shared" si="104"/>
      </c>
      <c r="AD472" s="316">
        <f t="shared" si="105"/>
      </c>
      <c r="AE472" s="316">
        <f t="shared" si="106"/>
        <v>0.007416666666666667</v>
      </c>
      <c r="AG472" s="316">
        <f t="shared" si="107"/>
      </c>
      <c r="AH472" s="316">
        <f t="shared" si="108"/>
      </c>
      <c r="AI472" s="316">
        <f t="shared" si="109"/>
      </c>
      <c r="AJ472" s="316">
        <f t="shared" si="110"/>
      </c>
      <c r="AK472" s="316">
        <f t="shared" si="111"/>
        <v>1.2</v>
      </c>
    </row>
    <row r="473" spans="16:37" ht="15">
      <c r="P473" s="312">
        <f t="shared" si="112"/>
        <v>1.4573379375835338</v>
      </c>
      <c r="Q473" s="247">
        <v>468</v>
      </c>
      <c r="R473" s="299">
        <f t="shared" si="101"/>
        <v>0.007416666666666667</v>
      </c>
      <c r="S473" s="250">
        <v>1.2</v>
      </c>
      <c r="AA473" s="316">
        <f t="shared" si="102"/>
      </c>
      <c r="AB473" s="316">
        <f t="shared" si="103"/>
      </c>
      <c r="AC473" s="316">
        <f t="shared" si="104"/>
      </c>
      <c r="AD473" s="316">
        <f t="shared" si="105"/>
      </c>
      <c r="AE473" s="316">
        <f t="shared" si="106"/>
        <v>0.007416666666666667</v>
      </c>
      <c r="AG473" s="316">
        <f t="shared" si="107"/>
      </c>
      <c r="AH473" s="316">
        <f t="shared" si="108"/>
      </c>
      <c r="AI473" s="316">
        <f t="shared" si="109"/>
      </c>
      <c r="AJ473" s="316">
        <f t="shared" si="110"/>
      </c>
      <c r="AK473" s="316">
        <f t="shared" si="111"/>
        <v>1.2</v>
      </c>
    </row>
    <row r="474" spans="16:37" ht="15">
      <c r="P474" s="312">
        <f t="shared" si="112"/>
        <v>1.4663450956699875</v>
      </c>
      <c r="Q474" s="247">
        <v>469</v>
      </c>
      <c r="R474" s="299">
        <f t="shared" si="101"/>
        <v>0.007416666666666667</v>
      </c>
      <c r="S474" s="250">
        <v>1.2</v>
      </c>
      <c r="AA474" s="316">
        <f t="shared" si="102"/>
      </c>
      <c r="AB474" s="316">
        <f t="shared" si="103"/>
      </c>
      <c r="AC474" s="316">
        <f t="shared" si="104"/>
      </c>
      <c r="AD474" s="316">
        <f t="shared" si="105"/>
      </c>
      <c r="AE474" s="316">
        <f t="shared" si="106"/>
        <v>0.007416666666666667</v>
      </c>
      <c r="AG474" s="316">
        <f t="shared" si="107"/>
      </c>
      <c r="AH474" s="316">
        <f t="shared" si="108"/>
      </c>
      <c r="AI474" s="316">
        <f t="shared" si="109"/>
      </c>
      <c r="AJ474" s="316">
        <f t="shared" si="110"/>
      </c>
      <c r="AK474" s="316">
        <f t="shared" si="111"/>
        <v>1.2</v>
      </c>
    </row>
    <row r="475" spans="16:37" ht="15">
      <c r="P475" s="312">
        <f t="shared" si="112"/>
        <v>1.4754079229973922</v>
      </c>
      <c r="Q475" s="247">
        <v>470</v>
      </c>
      <c r="R475" s="299">
        <f t="shared" si="101"/>
        <v>0.007416666666666667</v>
      </c>
      <c r="S475" s="250">
        <v>1.2</v>
      </c>
      <c r="AA475" s="316">
        <f t="shared" si="102"/>
      </c>
      <c r="AB475" s="316">
        <f t="shared" si="103"/>
      </c>
      <c r="AC475" s="316">
        <f t="shared" si="104"/>
      </c>
      <c r="AD475" s="316">
        <f t="shared" si="105"/>
      </c>
      <c r="AE475" s="316">
        <f t="shared" si="106"/>
        <v>0.007416666666666667</v>
      </c>
      <c r="AG475" s="316">
        <f t="shared" si="107"/>
      </c>
      <c r="AH475" s="316">
        <f t="shared" si="108"/>
      </c>
      <c r="AI475" s="316">
        <f t="shared" si="109"/>
      </c>
      <c r="AJ475" s="316">
        <f t="shared" si="110"/>
      </c>
      <c r="AK475" s="316">
        <f t="shared" si="111"/>
        <v>1.2</v>
      </c>
    </row>
    <row r="476" spans="16:37" ht="15">
      <c r="P476" s="312">
        <f t="shared" si="112"/>
        <v>1.4845267636325845</v>
      </c>
      <c r="Q476" s="247">
        <v>471</v>
      </c>
      <c r="R476" s="299">
        <f>0.0089/1.2</f>
        <v>0.007416666666666667</v>
      </c>
      <c r="S476" s="250">
        <v>1.2</v>
      </c>
      <c r="AA476" s="316">
        <f t="shared" si="102"/>
      </c>
      <c r="AB476" s="316">
        <f t="shared" si="103"/>
      </c>
      <c r="AC476" s="316">
        <f t="shared" si="104"/>
      </c>
      <c r="AD476" s="316">
        <f t="shared" si="105"/>
      </c>
      <c r="AE476" s="316">
        <f t="shared" si="106"/>
        <v>0.007416666666666667</v>
      </c>
      <c r="AG476" s="316">
        <f t="shared" si="107"/>
      </c>
      <c r="AH476" s="316">
        <f t="shared" si="108"/>
      </c>
      <c r="AI476" s="316">
        <f t="shared" si="109"/>
      </c>
      <c r="AJ476" s="316">
        <f t="shared" si="110"/>
      </c>
      <c r="AK476" s="316">
        <f t="shared" si="111"/>
        <v>1.2</v>
      </c>
    </row>
    <row r="477" spans="16:37" ht="15">
      <c r="P477" s="312">
        <f t="shared" si="112"/>
        <v>1.4937019637689248</v>
      </c>
      <c r="Q477" s="247">
        <v>472</v>
      </c>
      <c r="R477" s="299">
        <f>0.0089/1.2</f>
        <v>0.007416666666666667</v>
      </c>
      <c r="S477" s="250">
        <v>1.2</v>
      </c>
      <c r="AA477" s="316">
        <f t="shared" si="102"/>
      </c>
      <c r="AB477" s="316">
        <f t="shared" si="103"/>
      </c>
      <c r="AC477" s="316">
        <f t="shared" si="104"/>
      </c>
      <c r="AD477" s="316">
        <f t="shared" si="105"/>
      </c>
      <c r="AE477" s="316">
        <f t="shared" si="106"/>
        <v>0.007416666666666667</v>
      </c>
      <c r="AG477" s="316">
        <f t="shared" si="107"/>
      </c>
      <c r="AH477" s="316">
        <f t="shared" si="108"/>
      </c>
      <c r="AI477" s="316">
        <f t="shared" si="109"/>
      </c>
      <c r="AJ477" s="316">
        <f t="shared" si="110"/>
      </c>
      <c r="AK477" s="316">
        <f t="shared" si="111"/>
        <v>1.2</v>
      </c>
    </row>
    <row r="478" spans="16:37" ht="15">
      <c r="P478" s="312">
        <f t="shared" si="112"/>
        <v>1.5029338717394412</v>
      </c>
      <c r="Q478" s="247">
        <v>473</v>
      </c>
      <c r="R478" s="299">
        <f>0.0089/1.2</f>
        <v>0.007416666666666667</v>
      </c>
      <c r="S478" s="250">
        <v>1.2</v>
      </c>
      <c r="AA478" s="316">
        <f t="shared" si="102"/>
      </c>
      <c r="AB478" s="316">
        <f t="shared" si="103"/>
      </c>
      <c r="AC478" s="316">
        <f t="shared" si="104"/>
      </c>
      <c r="AD478" s="316">
        <f t="shared" si="105"/>
      </c>
      <c r="AE478" s="316">
        <f t="shared" si="106"/>
        <v>0.007416666666666667</v>
      </c>
      <c r="AG478" s="316">
        <f t="shared" si="107"/>
      </c>
      <c r="AH478" s="316">
        <f t="shared" si="108"/>
      </c>
      <c r="AI478" s="316">
        <f t="shared" si="109"/>
      </c>
      <c r="AJ478" s="316">
        <f t="shared" si="110"/>
      </c>
      <c r="AK478" s="316">
        <f t="shared" si="111"/>
        <v>1.2</v>
      </c>
    </row>
    <row r="479" spans="16:37" ht="15">
      <c r="P479" s="312">
        <f t="shared" si="112"/>
        <v>1.512222838030053</v>
      </c>
      <c r="Q479" s="247">
        <v>474</v>
      </c>
      <c r="R479" s="299">
        <f>0.0089/1.2</f>
        <v>0.007416666666666667</v>
      </c>
      <c r="S479" s="250">
        <v>1.2</v>
      </c>
      <c r="AA479" s="316">
        <f t="shared" si="102"/>
      </c>
      <c r="AB479" s="316">
        <f t="shared" si="103"/>
      </c>
      <c r="AC479" s="316">
        <f t="shared" si="104"/>
      </c>
      <c r="AD479" s="316">
        <f t="shared" si="105"/>
      </c>
      <c r="AE479" s="316">
        <f t="shared" si="106"/>
        <v>0.007416666666666667</v>
      </c>
      <c r="AG479" s="316">
        <f t="shared" si="107"/>
      </c>
      <c r="AH479" s="316">
        <f t="shared" si="108"/>
      </c>
      <c r="AI479" s="316">
        <f t="shared" si="109"/>
      </c>
      <c r="AJ479" s="316">
        <f t="shared" si="110"/>
      </c>
      <c r="AK479" s="316">
        <f t="shared" si="111"/>
        <v>1.2</v>
      </c>
    </row>
    <row r="480" spans="16:37" ht="15">
      <c r="P480" s="312">
        <f t="shared" si="112"/>
        <v>1.5215692152928777</v>
      </c>
      <c r="Q480" s="247">
        <v>475</v>
      </c>
      <c r="R480" s="299">
        <f aca="true" t="shared" si="113" ref="R480:R524">0.0089/1.2</f>
        <v>0.007416666666666667</v>
      </c>
      <c r="S480" s="250">
        <v>1.2</v>
      </c>
      <c r="AA480" s="316">
        <f t="shared" si="102"/>
      </c>
      <c r="AB480" s="316">
        <f t="shared" si="103"/>
      </c>
      <c r="AC480" s="316">
        <f t="shared" si="104"/>
      </c>
      <c r="AD480" s="316">
        <f t="shared" si="105"/>
      </c>
      <c r="AE480" s="316">
        <f t="shared" si="106"/>
        <v>0.007416666666666667</v>
      </c>
      <c r="AG480" s="316">
        <f t="shared" si="107"/>
      </c>
      <c r="AH480" s="316">
        <f t="shared" si="108"/>
      </c>
      <c r="AI480" s="316">
        <f t="shared" si="109"/>
      </c>
      <c r="AJ480" s="316">
        <f t="shared" si="110"/>
      </c>
      <c r="AK480" s="316">
        <f t="shared" si="111"/>
        <v>1.2</v>
      </c>
    </row>
    <row r="481" spans="16:37" ht="15">
      <c r="P481" s="312">
        <f t="shared" si="112"/>
        <v>1.5309733583596183</v>
      </c>
      <c r="Q481" s="247">
        <v>476</v>
      </c>
      <c r="R481" s="299">
        <f t="shared" si="113"/>
        <v>0.007416666666666667</v>
      </c>
      <c r="S481" s="250">
        <v>1.2</v>
      </c>
      <c r="AA481" s="316">
        <f t="shared" si="102"/>
      </c>
      <c r="AB481" s="316">
        <f t="shared" si="103"/>
      </c>
      <c r="AC481" s="316">
        <f t="shared" si="104"/>
      </c>
      <c r="AD481" s="316">
        <f t="shared" si="105"/>
      </c>
      <c r="AE481" s="316">
        <f t="shared" si="106"/>
        <v>0.007416666666666667</v>
      </c>
      <c r="AG481" s="316">
        <f t="shared" si="107"/>
      </c>
      <c r="AH481" s="316">
        <f t="shared" si="108"/>
      </c>
      <c r="AI481" s="316">
        <f t="shared" si="109"/>
      </c>
      <c r="AJ481" s="316">
        <f t="shared" si="110"/>
      </c>
      <c r="AK481" s="316">
        <f t="shared" si="111"/>
        <v>1.2</v>
      </c>
    </row>
    <row r="482" spans="16:37" ht="15">
      <c r="P482" s="312">
        <f t="shared" si="112"/>
        <v>1.5404356242550354</v>
      </c>
      <c r="Q482" s="247">
        <v>477</v>
      </c>
      <c r="R482" s="299">
        <f t="shared" si="113"/>
        <v>0.007416666666666667</v>
      </c>
      <c r="S482" s="250">
        <v>1.2</v>
      </c>
      <c r="AA482" s="316">
        <f t="shared" si="102"/>
      </c>
      <c r="AB482" s="316">
        <f t="shared" si="103"/>
      </c>
      <c r="AC482" s="316">
        <f t="shared" si="104"/>
      </c>
      <c r="AD482" s="316">
        <f t="shared" si="105"/>
      </c>
      <c r="AE482" s="316">
        <f t="shared" si="106"/>
        <v>0.007416666666666667</v>
      </c>
      <c r="AG482" s="316">
        <f t="shared" si="107"/>
      </c>
      <c r="AH482" s="316">
        <f t="shared" si="108"/>
      </c>
      <c r="AI482" s="316">
        <f t="shared" si="109"/>
      </c>
      <c r="AJ482" s="316">
        <f t="shared" si="110"/>
      </c>
      <c r="AK482" s="316">
        <f t="shared" si="111"/>
        <v>1.2</v>
      </c>
    </row>
    <row r="483" spans="16:37" ht="15">
      <c r="P483" s="312">
        <f t="shared" si="112"/>
        <v>1.5499563722105005</v>
      </c>
      <c r="Q483" s="247">
        <v>478</v>
      </c>
      <c r="R483" s="299">
        <f t="shared" si="113"/>
        <v>0.007416666666666667</v>
      </c>
      <c r="S483" s="250">
        <v>1.2</v>
      </c>
      <c r="AA483" s="316">
        <f t="shared" si="102"/>
      </c>
      <c r="AB483" s="316">
        <f t="shared" si="103"/>
      </c>
      <c r="AC483" s="316">
        <f t="shared" si="104"/>
      </c>
      <c r="AD483" s="316">
        <f t="shared" si="105"/>
      </c>
      <c r="AE483" s="316">
        <f t="shared" si="106"/>
        <v>0.007416666666666667</v>
      </c>
      <c r="AG483" s="316">
        <f t="shared" si="107"/>
      </c>
      <c r="AH483" s="316">
        <f t="shared" si="108"/>
      </c>
      <c r="AI483" s="316">
        <f t="shared" si="109"/>
      </c>
      <c r="AJ483" s="316">
        <f t="shared" si="110"/>
      </c>
      <c r="AK483" s="316">
        <f t="shared" si="111"/>
        <v>1.2</v>
      </c>
    </row>
    <row r="484" spans="16:37" ht="15">
      <c r="P484" s="312">
        <f t="shared" si="112"/>
        <v>1.559535963677635</v>
      </c>
      <c r="Q484" s="247">
        <v>479</v>
      </c>
      <c r="R484" s="299">
        <f t="shared" si="113"/>
        <v>0.007416666666666667</v>
      </c>
      <c r="S484" s="250">
        <v>1.2</v>
      </c>
      <c r="AA484" s="316">
        <f t="shared" si="102"/>
      </c>
      <c r="AB484" s="316">
        <f t="shared" si="103"/>
      </c>
      <c r="AC484" s="316">
        <f t="shared" si="104"/>
      </c>
      <c r="AD484" s="316">
        <f t="shared" si="105"/>
      </c>
      <c r="AE484" s="316">
        <f t="shared" si="106"/>
        <v>0.007416666666666667</v>
      </c>
      <c r="AG484" s="316">
        <f t="shared" si="107"/>
      </c>
      <c r="AH484" s="316">
        <f t="shared" si="108"/>
      </c>
      <c r="AI484" s="316">
        <f t="shared" si="109"/>
      </c>
      <c r="AJ484" s="316">
        <f t="shared" si="110"/>
      </c>
      <c r="AK484" s="316">
        <f t="shared" si="111"/>
        <v>1.2</v>
      </c>
    </row>
    <row r="485" spans="16:37" ht="15">
      <c r="P485" s="312">
        <f t="shared" si="112"/>
        <v>1.5691747623420313</v>
      </c>
      <c r="Q485" s="247">
        <v>480</v>
      </c>
      <c r="R485" s="299">
        <f t="shared" si="113"/>
        <v>0.007416666666666667</v>
      </c>
      <c r="S485" s="250">
        <v>1.2</v>
      </c>
      <c r="AA485" s="316">
        <f t="shared" si="102"/>
      </c>
      <c r="AB485" s="316">
        <f t="shared" si="103"/>
      </c>
      <c r="AC485" s="316">
        <f t="shared" si="104"/>
      </c>
      <c r="AD485" s="316">
        <f t="shared" si="105"/>
      </c>
      <c r="AE485" s="316">
        <f t="shared" si="106"/>
        <v>0.007416666666666667</v>
      </c>
      <c r="AG485" s="316">
        <f t="shared" si="107"/>
      </c>
      <c r="AH485" s="316">
        <f t="shared" si="108"/>
      </c>
      <c r="AI485" s="316">
        <f t="shared" si="109"/>
      </c>
      <c r="AJ485" s="316">
        <f t="shared" si="110"/>
      </c>
      <c r="AK485" s="316">
        <f t="shared" si="111"/>
        <v>1.2</v>
      </c>
    </row>
    <row r="486" spans="16:37" ht="15">
      <c r="P486" s="312">
        <f t="shared" si="112"/>
        <v>1.5788731341370619</v>
      </c>
      <c r="Q486" s="247">
        <v>481</v>
      </c>
      <c r="R486" s="299">
        <f t="shared" si="113"/>
        <v>0.007416666666666667</v>
      </c>
      <c r="S486" s="250">
        <v>1.2</v>
      </c>
      <c r="AA486" s="316">
        <f t="shared" si="102"/>
      </c>
      <c r="AB486" s="316">
        <f t="shared" si="103"/>
      </c>
      <c r="AC486" s="316">
        <f t="shared" si="104"/>
      </c>
      <c r="AD486" s="316">
        <f t="shared" si="105"/>
      </c>
      <c r="AE486" s="316">
        <f t="shared" si="106"/>
        <v>0.007416666666666667</v>
      </c>
      <c r="AG486" s="316">
        <f t="shared" si="107"/>
      </c>
      <c r="AH486" s="316">
        <f t="shared" si="108"/>
      </c>
      <c r="AI486" s="316">
        <f t="shared" si="109"/>
      </c>
      <c r="AJ486" s="316">
        <f t="shared" si="110"/>
      </c>
      <c r="AK486" s="316">
        <f t="shared" si="111"/>
        <v>1.2</v>
      </c>
    </row>
    <row r="487" spans="16:37" ht="15">
      <c r="P487" s="312">
        <f t="shared" si="112"/>
        <v>1.58863144725777</v>
      </c>
      <c r="Q487" s="247">
        <v>482</v>
      </c>
      <c r="R487" s="299">
        <f t="shared" si="113"/>
        <v>0.007416666666666667</v>
      </c>
      <c r="S487" s="250">
        <v>1.2</v>
      </c>
      <c r="AA487" s="316">
        <f t="shared" si="102"/>
      </c>
      <c r="AB487" s="316">
        <f t="shared" si="103"/>
      </c>
      <c r="AC487" s="316">
        <f t="shared" si="104"/>
      </c>
      <c r="AD487" s="316">
        <f t="shared" si="105"/>
      </c>
      <c r="AE487" s="316">
        <f t="shared" si="106"/>
        <v>0.007416666666666667</v>
      </c>
      <c r="AG487" s="316">
        <f t="shared" si="107"/>
      </c>
      <c r="AH487" s="316">
        <f t="shared" si="108"/>
      </c>
      <c r="AI487" s="316">
        <f t="shared" si="109"/>
      </c>
      <c r="AJ487" s="316">
        <f t="shared" si="110"/>
      </c>
      <c r="AK487" s="316">
        <f t="shared" si="111"/>
        <v>1.2</v>
      </c>
    </row>
    <row r="488" spans="16:37" ht="15">
      <c r="P488" s="312">
        <f t="shared" si="112"/>
        <v>1.5984500721748494</v>
      </c>
      <c r="Q488" s="247">
        <v>483</v>
      </c>
      <c r="R488" s="299">
        <f t="shared" si="113"/>
        <v>0.007416666666666667</v>
      </c>
      <c r="S488" s="250">
        <v>1.2</v>
      </c>
      <c r="AA488" s="316">
        <f t="shared" si="102"/>
      </c>
      <c r="AB488" s="316">
        <f t="shared" si="103"/>
      </c>
      <c r="AC488" s="316">
        <f t="shared" si="104"/>
      </c>
      <c r="AD488" s="316">
        <f t="shared" si="105"/>
      </c>
      <c r="AE488" s="316">
        <f t="shared" si="106"/>
        <v>0.007416666666666667</v>
      </c>
      <c r="AG488" s="316">
        <f t="shared" si="107"/>
      </c>
      <c r="AH488" s="316">
        <f t="shared" si="108"/>
      </c>
      <c r="AI488" s="316">
        <f t="shared" si="109"/>
      </c>
      <c r="AJ488" s="316">
        <f t="shared" si="110"/>
      </c>
      <c r="AK488" s="316">
        <f t="shared" si="111"/>
        <v>1.2</v>
      </c>
    </row>
    <row r="489" spans="16:37" ht="15">
      <c r="P489" s="312">
        <f t="shared" si="112"/>
        <v>1.6083293816487079</v>
      </c>
      <c r="Q489" s="247">
        <v>484</v>
      </c>
      <c r="R489" s="299">
        <f t="shared" si="113"/>
        <v>0.007416666666666667</v>
      </c>
      <c r="S489" s="250">
        <v>1.2</v>
      </c>
      <c r="AA489" s="316">
        <f t="shared" si="102"/>
      </c>
      <c r="AB489" s="316">
        <f t="shared" si="103"/>
      </c>
      <c r="AC489" s="316">
        <f t="shared" si="104"/>
      </c>
      <c r="AD489" s="316">
        <f t="shared" si="105"/>
      </c>
      <c r="AE489" s="316">
        <f t="shared" si="106"/>
        <v>0.007416666666666667</v>
      </c>
      <c r="AG489" s="316">
        <f t="shared" si="107"/>
      </c>
      <c r="AH489" s="316">
        <f t="shared" si="108"/>
      </c>
      <c r="AI489" s="316">
        <f t="shared" si="109"/>
      </c>
      <c r="AJ489" s="316">
        <f t="shared" si="110"/>
      </c>
      <c r="AK489" s="316">
        <f t="shared" si="111"/>
        <v>1.2</v>
      </c>
    </row>
    <row r="490" spans="16:37" ht="15">
      <c r="P490" s="312">
        <f t="shared" si="112"/>
        <v>1.6182697507436201</v>
      </c>
      <c r="Q490" s="247">
        <v>485</v>
      </c>
      <c r="R490" s="299">
        <f t="shared" si="113"/>
        <v>0.007416666666666667</v>
      </c>
      <c r="S490" s="250">
        <v>1.2</v>
      </c>
      <c r="AA490" s="316">
        <f t="shared" si="102"/>
      </c>
      <c r="AB490" s="316">
        <f t="shared" si="103"/>
      </c>
      <c r="AC490" s="316">
        <f t="shared" si="104"/>
      </c>
      <c r="AD490" s="316">
        <f t="shared" si="105"/>
      </c>
      <c r="AE490" s="316">
        <f t="shared" si="106"/>
        <v>0.007416666666666667</v>
      </c>
      <c r="AG490" s="316">
        <f t="shared" si="107"/>
      </c>
      <c r="AH490" s="316">
        <f t="shared" si="108"/>
      </c>
      <c r="AI490" s="316">
        <f t="shared" si="109"/>
      </c>
      <c r="AJ490" s="316">
        <f t="shared" si="110"/>
      </c>
      <c r="AK490" s="316">
        <f t="shared" si="111"/>
        <v>1.2</v>
      </c>
    </row>
    <row r="491" spans="16:37" ht="15">
      <c r="P491" s="312">
        <f t="shared" si="112"/>
        <v>1.6282715568419661</v>
      </c>
      <c r="Q491" s="247">
        <v>486</v>
      </c>
      <c r="R491" s="299">
        <f t="shared" si="113"/>
        <v>0.007416666666666667</v>
      </c>
      <c r="S491" s="250">
        <v>1.2</v>
      </c>
      <c r="AA491" s="316">
        <f t="shared" si="102"/>
      </c>
      <c r="AB491" s="316">
        <f t="shared" si="103"/>
      </c>
      <c r="AC491" s="316">
        <f t="shared" si="104"/>
      </c>
      <c r="AD491" s="316">
        <f t="shared" si="105"/>
      </c>
      <c r="AE491" s="316">
        <f t="shared" si="106"/>
        <v>0.007416666666666667</v>
      </c>
      <c r="AG491" s="316">
        <f t="shared" si="107"/>
      </c>
      <c r="AH491" s="316">
        <f t="shared" si="108"/>
      </c>
      <c r="AI491" s="316">
        <f t="shared" si="109"/>
      </c>
      <c r="AJ491" s="316">
        <f t="shared" si="110"/>
      </c>
      <c r="AK491" s="316">
        <f t="shared" si="111"/>
        <v>1.2</v>
      </c>
    </row>
    <row r="492" spans="16:37" ht="15">
      <c r="P492" s="312">
        <f t="shared" si="112"/>
        <v>1.6383351796585588</v>
      </c>
      <c r="Q492" s="247">
        <v>487</v>
      </c>
      <c r="R492" s="299">
        <f t="shared" si="113"/>
        <v>0.007416666666666667</v>
      </c>
      <c r="S492" s="250">
        <v>1.2</v>
      </c>
      <c r="AA492" s="316">
        <f t="shared" si="102"/>
      </c>
      <c r="AB492" s="316">
        <f t="shared" si="103"/>
      </c>
      <c r="AC492" s="316">
        <f t="shared" si="104"/>
      </c>
      <c r="AD492" s="316">
        <f t="shared" si="105"/>
      </c>
      <c r="AE492" s="316">
        <f t="shared" si="106"/>
        <v>0.007416666666666667</v>
      </c>
      <c r="AG492" s="316">
        <f t="shared" si="107"/>
      </c>
      <c r="AH492" s="316">
        <f t="shared" si="108"/>
      </c>
      <c r="AI492" s="316">
        <f t="shared" si="109"/>
      </c>
      <c r="AJ492" s="316">
        <f t="shared" si="110"/>
      </c>
      <c r="AK492" s="316">
        <f t="shared" si="111"/>
        <v>1.2</v>
      </c>
    </row>
    <row r="493" spans="16:37" ht="15">
      <c r="P493" s="312">
        <f t="shared" si="112"/>
        <v>1.6484610012550596</v>
      </c>
      <c r="Q493" s="247">
        <v>488</v>
      </c>
      <c r="R493" s="299">
        <f t="shared" si="113"/>
        <v>0.007416666666666667</v>
      </c>
      <c r="S493" s="250">
        <v>1.2</v>
      </c>
      <c r="AA493" s="316">
        <f t="shared" si="102"/>
      </c>
      <c r="AB493" s="316">
        <f t="shared" si="103"/>
      </c>
      <c r="AC493" s="316">
        <f t="shared" si="104"/>
      </c>
      <c r="AD493" s="316">
        <f t="shared" si="105"/>
      </c>
      <c r="AE493" s="316">
        <f t="shared" si="106"/>
        <v>0.007416666666666667</v>
      </c>
      <c r="AG493" s="316">
        <f t="shared" si="107"/>
      </c>
      <c r="AH493" s="316">
        <f t="shared" si="108"/>
      </c>
      <c r="AI493" s="316">
        <f t="shared" si="109"/>
      </c>
      <c r="AJ493" s="316">
        <f t="shared" si="110"/>
      </c>
      <c r="AK493" s="316">
        <f t="shared" si="111"/>
        <v>1.2</v>
      </c>
    </row>
    <row r="494" spans="16:37" ht="15">
      <c r="P494" s="312">
        <f t="shared" si="112"/>
        <v>1.6586494060544832</v>
      </c>
      <c r="Q494" s="247">
        <v>489</v>
      </c>
      <c r="R494" s="299">
        <f t="shared" si="113"/>
        <v>0.007416666666666667</v>
      </c>
      <c r="S494" s="250">
        <v>1.2</v>
      </c>
      <c r="AA494" s="316">
        <f t="shared" si="102"/>
      </c>
      <c r="AB494" s="316">
        <f t="shared" si="103"/>
      </c>
      <c r="AC494" s="316">
        <f t="shared" si="104"/>
      </c>
      <c r="AD494" s="316">
        <f t="shared" si="105"/>
      </c>
      <c r="AE494" s="316">
        <f t="shared" si="106"/>
        <v>0.007416666666666667</v>
      </c>
      <c r="AG494" s="316">
        <f t="shared" si="107"/>
      </c>
      <c r="AH494" s="316">
        <f t="shared" si="108"/>
      </c>
      <c r="AI494" s="316">
        <f t="shared" si="109"/>
      </c>
      <c r="AJ494" s="316">
        <f t="shared" si="110"/>
      </c>
      <c r="AK494" s="316">
        <f t="shared" si="111"/>
        <v>1.2</v>
      </c>
    </row>
    <row r="495" spans="16:37" ht="15">
      <c r="P495" s="312">
        <f t="shared" si="112"/>
        <v>1.668900780855792</v>
      </c>
      <c r="Q495" s="247">
        <v>490</v>
      </c>
      <c r="R495" s="299">
        <f t="shared" si="113"/>
        <v>0.007416666666666667</v>
      </c>
      <c r="S495" s="250">
        <v>1.2</v>
      </c>
      <c r="AA495" s="316">
        <f t="shared" si="102"/>
      </c>
      <c r="AB495" s="316">
        <f t="shared" si="103"/>
      </c>
      <c r="AC495" s="316">
        <f t="shared" si="104"/>
      </c>
      <c r="AD495" s="316">
        <f t="shared" si="105"/>
      </c>
      <c r="AE495" s="316">
        <f t="shared" si="106"/>
        <v>0.007416666666666667</v>
      </c>
      <c r="AG495" s="316">
        <f t="shared" si="107"/>
      </c>
      <c r="AH495" s="316">
        <f t="shared" si="108"/>
      </c>
      <c r="AI495" s="316">
        <f t="shared" si="109"/>
      </c>
      <c r="AJ495" s="316">
        <f t="shared" si="110"/>
      </c>
      <c r="AK495" s="316">
        <f t="shared" si="111"/>
        <v>1.2</v>
      </c>
    </row>
    <row r="496" spans="16:37" ht="15">
      <c r="P496" s="312">
        <f t="shared" si="112"/>
        <v>1.6792155148485814</v>
      </c>
      <c r="Q496" s="247">
        <v>491</v>
      </c>
      <c r="R496" s="299">
        <f t="shared" si="113"/>
        <v>0.007416666666666667</v>
      </c>
      <c r="S496" s="250">
        <v>1.2</v>
      </c>
      <c r="AA496" s="316">
        <f t="shared" si="102"/>
      </c>
      <c r="AB496" s="316">
        <f t="shared" si="103"/>
      </c>
      <c r="AC496" s="316">
        <f t="shared" si="104"/>
      </c>
      <c r="AD496" s="316">
        <f t="shared" si="105"/>
      </c>
      <c r="AE496" s="316">
        <f t="shared" si="106"/>
        <v>0.007416666666666667</v>
      </c>
      <c r="AG496" s="316">
        <f t="shared" si="107"/>
      </c>
      <c r="AH496" s="316">
        <f t="shared" si="108"/>
      </c>
      <c r="AI496" s="316">
        <f t="shared" si="109"/>
      </c>
      <c r="AJ496" s="316">
        <f t="shared" si="110"/>
      </c>
      <c r="AK496" s="316">
        <f t="shared" si="111"/>
        <v>1.2</v>
      </c>
    </row>
    <row r="497" spans="16:37" ht="15">
      <c r="P497" s="312">
        <f t="shared" si="112"/>
        <v>1.689593999627854</v>
      </c>
      <c r="Q497" s="247">
        <v>492</v>
      </c>
      <c r="R497" s="299">
        <f t="shared" si="113"/>
        <v>0.007416666666666667</v>
      </c>
      <c r="S497" s="250">
        <v>1.2</v>
      </c>
      <c r="AA497" s="316">
        <f t="shared" si="102"/>
      </c>
      <c r="AB497" s="316">
        <f t="shared" si="103"/>
      </c>
      <c r="AC497" s="316">
        <f t="shared" si="104"/>
      </c>
      <c r="AD497" s="316">
        <f t="shared" si="105"/>
      </c>
      <c r="AE497" s="316">
        <f t="shared" si="106"/>
        <v>0.007416666666666667</v>
      </c>
      <c r="AG497" s="316">
        <f t="shared" si="107"/>
      </c>
      <c r="AH497" s="316">
        <f t="shared" si="108"/>
      </c>
      <c r="AI497" s="316">
        <f t="shared" si="109"/>
      </c>
      <c r="AJ497" s="316">
        <f t="shared" si="110"/>
      </c>
      <c r="AK497" s="316">
        <f t="shared" si="111"/>
        <v>1.2</v>
      </c>
    </row>
    <row r="498" spans="16:37" ht="15">
      <c r="P498" s="312">
        <f t="shared" si="112"/>
        <v>1.7000366292088873</v>
      </c>
      <c r="Q498" s="247">
        <v>493</v>
      </c>
      <c r="R498" s="299">
        <f t="shared" si="113"/>
        <v>0.007416666666666667</v>
      </c>
      <c r="S498" s="250">
        <v>1.2</v>
      </c>
      <c r="AA498" s="316">
        <f t="shared" si="102"/>
      </c>
      <c r="AB498" s="316">
        <f t="shared" si="103"/>
      </c>
      <c r="AC498" s="316">
        <f t="shared" si="104"/>
      </c>
      <c r="AD498" s="316">
        <f t="shared" si="105"/>
      </c>
      <c r="AE498" s="316">
        <f t="shared" si="106"/>
        <v>0.007416666666666667</v>
      </c>
      <c r="AG498" s="316">
        <f t="shared" si="107"/>
      </c>
      <c r="AH498" s="316">
        <f t="shared" si="108"/>
      </c>
      <c r="AI498" s="316">
        <f t="shared" si="109"/>
      </c>
      <c r="AJ498" s="316">
        <f t="shared" si="110"/>
      </c>
      <c r="AK498" s="316">
        <f t="shared" si="111"/>
        <v>1.2</v>
      </c>
    </row>
    <row r="499" spans="16:37" ht="15">
      <c r="P499" s="312">
        <f t="shared" si="112"/>
        <v>1.7105438000421922</v>
      </c>
      <c r="Q499" s="247">
        <v>494</v>
      </c>
      <c r="R499" s="299">
        <f t="shared" si="113"/>
        <v>0.007416666666666667</v>
      </c>
      <c r="S499" s="250">
        <v>1.2</v>
      </c>
      <c r="AA499" s="316">
        <f t="shared" si="102"/>
      </c>
      <c r="AB499" s="316">
        <f t="shared" si="103"/>
      </c>
      <c r="AC499" s="316">
        <f t="shared" si="104"/>
      </c>
      <c r="AD499" s="316">
        <f t="shared" si="105"/>
      </c>
      <c r="AE499" s="316">
        <f t="shared" si="106"/>
        <v>0.007416666666666667</v>
      </c>
      <c r="AG499" s="316">
        <f t="shared" si="107"/>
      </c>
      <c r="AH499" s="316">
        <f t="shared" si="108"/>
      </c>
      <c r="AI499" s="316">
        <f t="shared" si="109"/>
      </c>
      <c r="AJ499" s="316">
        <f t="shared" si="110"/>
      </c>
      <c r="AK499" s="316">
        <f t="shared" si="111"/>
        <v>1.2</v>
      </c>
    </row>
    <row r="500" spans="16:37" ht="15">
      <c r="P500" s="312">
        <f t="shared" si="112"/>
        <v>1.721115911028564</v>
      </c>
      <c r="Q500" s="247">
        <v>495</v>
      </c>
      <c r="R500" s="299">
        <f t="shared" si="113"/>
        <v>0.007416666666666667</v>
      </c>
      <c r="S500" s="250">
        <v>1.2</v>
      </c>
      <c r="AA500" s="316">
        <f t="shared" si="102"/>
      </c>
      <c r="AB500" s="316">
        <f t="shared" si="103"/>
      </c>
      <c r="AC500" s="316">
        <f t="shared" si="104"/>
      </c>
      <c r="AD500" s="316">
        <f t="shared" si="105"/>
      </c>
      <c r="AE500" s="316">
        <f t="shared" si="106"/>
        <v>0.007416666666666667</v>
      </c>
      <c r="AG500" s="316">
        <f t="shared" si="107"/>
      </c>
      <c r="AH500" s="316">
        <f t="shared" si="108"/>
      </c>
      <c r="AI500" s="316">
        <f t="shared" si="109"/>
      </c>
      <c r="AJ500" s="316">
        <f t="shared" si="110"/>
      </c>
      <c r="AK500" s="316">
        <f t="shared" si="111"/>
        <v>1.2</v>
      </c>
    </row>
    <row r="501" spans="16:37" ht="15">
      <c r="P501" s="312">
        <f t="shared" si="112"/>
        <v>1.7317533635342268</v>
      </c>
      <c r="Q501" s="247">
        <v>496</v>
      </c>
      <c r="R501" s="299">
        <f t="shared" si="113"/>
        <v>0.007416666666666667</v>
      </c>
      <c r="S501" s="250">
        <v>1.2</v>
      </c>
      <c r="AA501" s="316">
        <f t="shared" si="102"/>
      </c>
      <c r="AB501" s="316">
        <f t="shared" si="103"/>
      </c>
      <c r="AC501" s="316">
        <f t="shared" si="104"/>
      </c>
      <c r="AD501" s="316">
        <f t="shared" si="105"/>
      </c>
      <c r="AE501" s="316">
        <f t="shared" si="106"/>
        <v>0.007416666666666667</v>
      </c>
      <c r="AG501" s="316">
        <f t="shared" si="107"/>
      </c>
      <c r="AH501" s="316">
        <f t="shared" si="108"/>
      </c>
      <c r="AI501" s="316">
        <f t="shared" si="109"/>
      </c>
      <c r="AJ501" s="316">
        <f t="shared" si="110"/>
      </c>
      <c r="AK501" s="316">
        <f t="shared" si="111"/>
        <v>1.2</v>
      </c>
    </row>
    <row r="502" spans="16:37" ht="15">
      <c r="P502" s="312">
        <f t="shared" si="112"/>
        <v>1.7424565614060703</v>
      </c>
      <c r="Q502" s="247">
        <v>497</v>
      </c>
      <c r="R502" s="299">
        <f t="shared" si="113"/>
        <v>0.007416666666666667</v>
      </c>
      <c r="S502" s="250">
        <v>1.2</v>
      </c>
      <c r="AA502" s="316">
        <f t="shared" si="102"/>
      </c>
      <c r="AB502" s="316">
        <f t="shared" si="103"/>
      </c>
      <c r="AC502" s="316">
        <f t="shared" si="104"/>
      </c>
      <c r="AD502" s="316">
        <f t="shared" si="105"/>
      </c>
      <c r="AE502" s="316">
        <f t="shared" si="106"/>
        <v>0.007416666666666667</v>
      </c>
      <c r="AG502" s="316">
        <f t="shared" si="107"/>
      </c>
      <c r="AH502" s="316">
        <f t="shared" si="108"/>
      </c>
      <c r="AI502" s="316">
        <f t="shared" si="109"/>
      </c>
      <c r="AJ502" s="316">
        <f t="shared" si="110"/>
      </c>
      <c r="AK502" s="316">
        <f t="shared" si="111"/>
        <v>1.2</v>
      </c>
    </row>
    <row r="503" spans="16:37" ht="15">
      <c r="P503" s="312">
        <f t="shared" si="112"/>
        <v>1.7532259109869828</v>
      </c>
      <c r="Q503" s="247">
        <v>498</v>
      </c>
      <c r="R503" s="299">
        <f t="shared" si="113"/>
        <v>0.007416666666666667</v>
      </c>
      <c r="S503" s="250">
        <v>1.2</v>
      </c>
      <c r="AA503" s="316">
        <f t="shared" si="102"/>
      </c>
      <c r="AB503" s="316">
        <f t="shared" si="103"/>
      </c>
      <c r="AC503" s="316">
        <f t="shared" si="104"/>
      </c>
      <c r="AD503" s="316">
        <f t="shared" si="105"/>
      </c>
      <c r="AE503" s="316">
        <f t="shared" si="106"/>
        <v>0.007416666666666667</v>
      </c>
      <c r="AG503" s="316">
        <f t="shared" si="107"/>
      </c>
      <c r="AH503" s="316">
        <f t="shared" si="108"/>
      </c>
      <c r="AI503" s="316">
        <f t="shared" si="109"/>
      </c>
      <c r="AJ503" s="316">
        <f t="shared" si="110"/>
      </c>
      <c r="AK503" s="316">
        <f t="shared" si="111"/>
        <v>1.2</v>
      </c>
    </row>
    <row r="504" spans="16:37" ht="15">
      <c r="P504" s="312">
        <f t="shared" si="112"/>
        <v>1.7640618211312773</v>
      </c>
      <c r="Q504" s="247">
        <v>499</v>
      </c>
      <c r="R504" s="299">
        <f t="shared" si="113"/>
        <v>0.007416666666666667</v>
      </c>
      <c r="S504" s="250">
        <v>1.2</v>
      </c>
      <c r="AA504" s="316">
        <f t="shared" si="102"/>
      </c>
      <c r="AB504" s="316">
        <f t="shared" si="103"/>
      </c>
      <c r="AC504" s="316">
        <f t="shared" si="104"/>
      </c>
      <c r="AD504" s="316">
        <f t="shared" si="105"/>
      </c>
      <c r="AE504" s="316">
        <f t="shared" si="106"/>
        <v>0.007416666666666667</v>
      </c>
      <c r="AG504" s="316">
        <f t="shared" si="107"/>
      </c>
      <c r="AH504" s="316">
        <f t="shared" si="108"/>
      </c>
      <c r="AI504" s="316">
        <f t="shared" si="109"/>
      </c>
      <c r="AJ504" s="316">
        <f t="shared" si="110"/>
      </c>
      <c r="AK504" s="316">
        <f t="shared" si="111"/>
        <v>1.2</v>
      </c>
    </row>
    <row r="505" spans="16:37" ht="15">
      <c r="P505" s="312">
        <f t="shared" si="112"/>
        <v>1.7749647032202136</v>
      </c>
      <c r="Q505" s="247">
        <v>500</v>
      </c>
      <c r="R505" s="299">
        <f t="shared" si="113"/>
        <v>0.007416666666666667</v>
      </c>
      <c r="S505" s="250">
        <v>1.2</v>
      </c>
      <c r="AA505" s="316">
        <f t="shared" si="102"/>
      </c>
      <c r="AB505" s="316">
        <f t="shared" si="103"/>
      </c>
      <c r="AC505" s="316">
        <f t="shared" si="104"/>
      </c>
      <c r="AD505" s="316">
        <f t="shared" si="105"/>
      </c>
      <c r="AE505" s="316">
        <f t="shared" si="106"/>
        <v>0.007416666666666667</v>
      </c>
      <c r="AG505" s="316">
        <f t="shared" si="107"/>
      </c>
      <c r="AH505" s="316">
        <f t="shared" si="108"/>
      </c>
      <c r="AI505" s="316">
        <f t="shared" si="109"/>
      </c>
      <c r="AJ505" s="316">
        <f t="shared" si="110"/>
      </c>
      <c r="AK505" s="316">
        <f t="shared" si="111"/>
        <v>1.2</v>
      </c>
    </row>
    <row r="506" spans="16:37" ht="15">
      <c r="P506" s="312">
        <f t="shared" si="112"/>
        <v>1.7859349711776162</v>
      </c>
      <c r="Q506" s="247">
        <v>501</v>
      </c>
      <c r="R506" s="299">
        <f t="shared" si="113"/>
        <v>0.007416666666666667</v>
      </c>
      <c r="S506" s="250">
        <v>1.2</v>
      </c>
      <c r="AA506" s="316">
        <f t="shared" si="102"/>
      </c>
      <c r="AB506" s="316">
        <f t="shared" si="103"/>
      </c>
      <c r="AC506" s="316">
        <f t="shared" si="104"/>
      </c>
      <c r="AD506" s="316">
        <f t="shared" si="105"/>
      </c>
      <c r="AE506" s="316">
        <f t="shared" si="106"/>
        <v>0.007416666666666667</v>
      </c>
      <c r="AG506" s="316">
        <f t="shared" si="107"/>
      </c>
      <c r="AH506" s="316">
        <f t="shared" si="108"/>
      </c>
      <c r="AI506" s="316">
        <f t="shared" si="109"/>
      </c>
      <c r="AJ506" s="316">
        <f t="shared" si="110"/>
      </c>
      <c r="AK506" s="316">
        <f t="shared" si="111"/>
        <v>1.2</v>
      </c>
    </row>
    <row r="507" spans="16:37" ht="15">
      <c r="P507" s="312">
        <f t="shared" si="112"/>
        <v>1.796973041485589</v>
      </c>
      <c r="Q507" s="247">
        <v>502</v>
      </c>
      <c r="R507" s="299">
        <f t="shared" si="113"/>
        <v>0.007416666666666667</v>
      </c>
      <c r="S507" s="250">
        <v>1.2</v>
      </c>
      <c r="AA507" s="316">
        <f t="shared" si="102"/>
      </c>
      <c r="AB507" s="316">
        <f t="shared" si="103"/>
      </c>
      <c r="AC507" s="316">
        <f t="shared" si="104"/>
      </c>
      <c r="AD507" s="316">
        <f t="shared" si="105"/>
      </c>
      <c r="AE507" s="316">
        <f t="shared" si="106"/>
        <v>0.007416666666666667</v>
      </c>
      <c r="AG507" s="316">
        <f t="shared" si="107"/>
      </c>
      <c r="AH507" s="316">
        <f t="shared" si="108"/>
      </c>
      <c r="AI507" s="316">
        <f t="shared" si="109"/>
      </c>
      <c r="AJ507" s="316">
        <f t="shared" si="110"/>
      </c>
      <c r="AK507" s="316">
        <f t="shared" si="111"/>
        <v>1.2</v>
      </c>
    </row>
    <row r="508" spans="16:37" ht="15">
      <c r="P508" s="312">
        <f t="shared" si="112"/>
        <v>1.8080793332003262</v>
      </c>
      <c r="Q508" s="247">
        <v>503</v>
      </c>
      <c r="R508" s="299">
        <f t="shared" si="113"/>
        <v>0.007416666666666667</v>
      </c>
      <c r="S508" s="250">
        <v>1.2</v>
      </c>
      <c r="AA508" s="316">
        <f t="shared" si="102"/>
      </c>
      <c r="AB508" s="316">
        <f t="shared" si="103"/>
      </c>
      <c r="AC508" s="316">
        <f t="shared" si="104"/>
      </c>
      <c r="AD508" s="316">
        <f t="shared" si="105"/>
      </c>
      <c r="AE508" s="316">
        <f t="shared" si="106"/>
        <v>0.007416666666666667</v>
      </c>
      <c r="AG508" s="316">
        <f t="shared" si="107"/>
      </c>
      <c r="AH508" s="316">
        <f t="shared" si="108"/>
      </c>
      <c r="AI508" s="316">
        <f t="shared" si="109"/>
      </c>
      <c r="AJ508" s="316">
        <f t="shared" si="110"/>
      </c>
      <c r="AK508" s="316">
        <f t="shared" si="111"/>
        <v>1.2</v>
      </c>
    </row>
    <row r="509" spans="16:37" ht="15">
      <c r="P509" s="312">
        <f t="shared" si="112"/>
        <v>1.8192542679680226</v>
      </c>
      <c r="Q509" s="247">
        <v>504</v>
      </c>
      <c r="R509" s="299">
        <f t="shared" si="113"/>
        <v>0.007416666666666667</v>
      </c>
      <c r="S509" s="250">
        <v>1.2</v>
      </c>
      <c r="AA509" s="316">
        <f t="shared" si="102"/>
      </c>
      <c r="AB509" s="316">
        <f t="shared" si="103"/>
      </c>
      <c r="AC509" s="316">
        <f t="shared" si="104"/>
      </c>
      <c r="AD509" s="316">
        <f t="shared" si="105"/>
      </c>
      <c r="AE509" s="316">
        <f t="shared" si="106"/>
        <v>0.007416666666666667</v>
      </c>
      <c r="AG509" s="316">
        <f t="shared" si="107"/>
      </c>
      <c r="AH509" s="316">
        <f t="shared" si="108"/>
      </c>
      <c r="AI509" s="316">
        <f t="shared" si="109"/>
      </c>
      <c r="AJ509" s="316">
        <f t="shared" si="110"/>
      </c>
      <c r="AK509" s="316">
        <f t="shared" si="111"/>
        <v>1.2</v>
      </c>
    </row>
    <row r="510" spans="16:37" ht="15">
      <c r="P510" s="312">
        <f t="shared" si="112"/>
        <v>1.8304982700408805</v>
      </c>
      <c r="Q510" s="249">
        <v>505</v>
      </c>
      <c r="R510" s="299">
        <f t="shared" si="113"/>
        <v>0.007416666666666667</v>
      </c>
      <c r="S510" s="250">
        <v>1.2</v>
      </c>
      <c r="AA510" s="316">
        <f t="shared" si="102"/>
      </c>
      <c r="AB510" s="316">
        <f t="shared" si="103"/>
      </c>
      <c r="AC510" s="316">
        <f t="shared" si="104"/>
      </c>
      <c r="AD510" s="316">
        <f t="shared" si="105"/>
      </c>
      <c r="AE510" s="316">
        <f t="shared" si="106"/>
        <v>0.007416666666666667</v>
      </c>
      <c r="AG510" s="316">
        <f t="shared" si="107"/>
      </c>
      <c r="AH510" s="316">
        <f t="shared" si="108"/>
      </c>
      <c r="AI510" s="316">
        <f t="shared" si="109"/>
      </c>
      <c r="AJ510" s="316">
        <f t="shared" si="110"/>
      </c>
      <c r="AK510" s="316">
        <f t="shared" si="111"/>
        <v>1.2</v>
      </c>
    </row>
    <row r="511" spans="16:37" ht="15">
      <c r="P511" s="312">
        <f t="shared" si="112"/>
        <v>1.8418117662932165</v>
      </c>
      <c r="Q511" s="247">
        <v>506</v>
      </c>
      <c r="R511" s="299">
        <f t="shared" si="113"/>
        <v>0.007416666666666667</v>
      </c>
      <c r="S511" s="250">
        <v>1.2</v>
      </c>
      <c r="AA511" s="316">
        <f t="shared" si="102"/>
      </c>
      <c r="AB511" s="316">
        <f t="shared" si="103"/>
      </c>
      <c r="AC511" s="316">
        <f t="shared" si="104"/>
      </c>
      <c r="AD511" s="316">
        <f t="shared" si="105"/>
      </c>
      <c r="AE511" s="316">
        <f t="shared" si="106"/>
        <v>0.007416666666666667</v>
      </c>
      <c r="AG511" s="316">
        <f t="shared" si="107"/>
      </c>
      <c r="AH511" s="316">
        <f t="shared" si="108"/>
      </c>
      <c r="AI511" s="316">
        <f t="shared" si="109"/>
      </c>
      <c r="AJ511" s="316">
        <f t="shared" si="110"/>
      </c>
      <c r="AK511" s="316">
        <f t="shared" si="111"/>
        <v>1.2</v>
      </c>
    </row>
    <row r="512" spans="16:37" ht="15">
      <c r="P512" s="312">
        <f t="shared" si="112"/>
        <v>1.8531951862376677</v>
      </c>
      <c r="Q512" s="247">
        <v>507</v>
      </c>
      <c r="R512" s="299">
        <f t="shared" si="113"/>
        <v>0.007416666666666667</v>
      </c>
      <c r="S512" s="250">
        <v>1.2</v>
      </c>
      <c r="AA512" s="316">
        <f t="shared" si="102"/>
      </c>
      <c r="AB512" s="316">
        <f t="shared" si="103"/>
      </c>
      <c r="AC512" s="316">
        <f t="shared" si="104"/>
      </c>
      <c r="AD512" s="316">
        <f t="shared" si="105"/>
      </c>
      <c r="AE512" s="316">
        <f t="shared" si="106"/>
        <v>0.007416666666666667</v>
      </c>
      <c r="AG512" s="316">
        <f t="shared" si="107"/>
      </c>
      <c r="AH512" s="316">
        <f t="shared" si="108"/>
      </c>
      <c r="AI512" s="316">
        <f t="shared" si="109"/>
      </c>
      <c r="AJ512" s="316">
        <f t="shared" si="110"/>
      </c>
      <c r="AK512" s="316">
        <f t="shared" si="111"/>
        <v>1.2</v>
      </c>
    </row>
    <row r="513" spans="16:37" ht="15">
      <c r="P513" s="312">
        <f t="shared" si="112"/>
        <v>1.8646489620414977</v>
      </c>
      <c r="Q513" s="247">
        <v>508</v>
      </c>
      <c r="R513" s="299">
        <f t="shared" si="113"/>
        <v>0.007416666666666667</v>
      </c>
      <c r="S513" s="250">
        <v>1.2</v>
      </c>
      <c r="AA513" s="316">
        <f t="shared" si="102"/>
      </c>
      <c r="AB513" s="316">
        <f t="shared" si="103"/>
      </c>
      <c r="AC513" s="316">
        <f t="shared" si="104"/>
      </c>
      <c r="AD513" s="316">
        <f t="shared" si="105"/>
      </c>
      <c r="AE513" s="316">
        <f t="shared" si="106"/>
        <v>0.007416666666666667</v>
      </c>
      <c r="AG513" s="316">
        <f t="shared" si="107"/>
      </c>
      <c r="AH513" s="316">
        <f t="shared" si="108"/>
      </c>
      <c r="AI513" s="316">
        <f t="shared" si="109"/>
      </c>
      <c r="AJ513" s="316">
        <f t="shared" si="110"/>
      </c>
      <c r="AK513" s="316">
        <f t="shared" si="111"/>
        <v>1.2</v>
      </c>
    </row>
    <row r="514" spans="16:37" ht="15">
      <c r="P514" s="312">
        <f t="shared" si="112"/>
        <v>1.8761735285430041</v>
      </c>
      <c r="Q514" s="247">
        <v>509</v>
      </c>
      <c r="R514" s="299">
        <f t="shared" si="113"/>
        <v>0.007416666666666667</v>
      </c>
      <c r="S514" s="250">
        <v>1.2</v>
      </c>
      <c r="AA514" s="316">
        <f t="shared" si="102"/>
      </c>
      <c r="AB514" s="316">
        <f t="shared" si="103"/>
      </c>
      <c r="AC514" s="316">
        <f t="shared" si="104"/>
      </c>
      <c r="AD514" s="316">
        <f t="shared" si="105"/>
      </c>
      <c r="AE514" s="316">
        <f t="shared" si="106"/>
        <v>0.007416666666666667</v>
      </c>
      <c r="AG514" s="316">
        <f t="shared" si="107"/>
      </c>
      <c r="AH514" s="316">
        <f t="shared" si="108"/>
      </c>
      <c r="AI514" s="316">
        <f t="shared" si="109"/>
      </c>
      <c r="AJ514" s="316">
        <f t="shared" si="110"/>
      </c>
      <c r="AK514" s="316">
        <f t="shared" si="111"/>
        <v>1.2</v>
      </c>
    </row>
    <row r="515" spans="16:37" ht="15">
      <c r="P515" s="312">
        <f t="shared" si="112"/>
        <v>1.8877693232680268</v>
      </c>
      <c r="Q515" s="247">
        <v>510</v>
      </c>
      <c r="R515" s="299">
        <f t="shared" si="113"/>
        <v>0.007416666666666667</v>
      </c>
      <c r="S515" s="250">
        <v>1.2</v>
      </c>
      <c r="AA515" s="316">
        <f t="shared" si="102"/>
      </c>
      <c r="AB515" s="316">
        <f t="shared" si="103"/>
      </c>
      <c r="AC515" s="316">
        <f t="shared" si="104"/>
      </c>
      <c r="AD515" s="316">
        <f t="shared" si="105"/>
      </c>
      <c r="AE515" s="316">
        <f t="shared" si="106"/>
        <v>0.007416666666666667</v>
      </c>
      <c r="AG515" s="316">
        <f t="shared" si="107"/>
      </c>
      <c r="AH515" s="316">
        <f t="shared" si="108"/>
      </c>
      <c r="AI515" s="316">
        <f t="shared" si="109"/>
      </c>
      <c r="AJ515" s="316">
        <f t="shared" si="110"/>
      </c>
      <c r="AK515" s="316">
        <f t="shared" si="111"/>
        <v>1.2</v>
      </c>
    </row>
    <row r="516" spans="16:37" ht="15">
      <c r="P516" s="312">
        <f t="shared" si="112"/>
        <v>1.8994367864465584</v>
      </c>
      <c r="Q516" s="247">
        <v>511</v>
      </c>
      <c r="R516" s="299">
        <f t="shared" si="113"/>
        <v>0.007416666666666667</v>
      </c>
      <c r="S516" s="250">
        <v>1.2</v>
      </c>
      <c r="AA516" s="316">
        <f t="shared" si="102"/>
      </c>
      <c r="AB516" s="316">
        <f t="shared" si="103"/>
      </c>
      <c r="AC516" s="316">
        <f t="shared" si="104"/>
      </c>
      <c r="AD516" s="316">
        <f t="shared" si="105"/>
      </c>
      <c r="AE516" s="316">
        <f t="shared" si="106"/>
        <v>0.007416666666666667</v>
      </c>
      <c r="AG516" s="316">
        <f t="shared" si="107"/>
      </c>
      <c r="AH516" s="316">
        <f t="shared" si="108"/>
      </c>
      <c r="AI516" s="316">
        <f t="shared" si="109"/>
      </c>
      <c r="AJ516" s="316">
        <f t="shared" si="110"/>
      </c>
      <c r="AK516" s="316">
        <f t="shared" si="111"/>
        <v>1.2</v>
      </c>
    </row>
    <row r="517" spans="16:37" ht="15">
      <c r="P517" s="312">
        <f t="shared" si="112"/>
        <v>1.9111763610294572</v>
      </c>
      <c r="Q517" s="247">
        <v>512</v>
      </c>
      <c r="R517" s="299">
        <f t="shared" si="113"/>
        <v>0.007416666666666667</v>
      </c>
      <c r="S517" s="250">
        <v>1.2</v>
      </c>
      <c r="AA517" s="316">
        <f t="shared" si="102"/>
      </c>
      <c r="AB517" s="316">
        <f t="shared" si="103"/>
      </c>
      <c r="AC517" s="316">
        <f t="shared" si="104"/>
      </c>
      <c r="AD517" s="316">
        <f t="shared" si="105"/>
      </c>
      <c r="AE517" s="316">
        <f t="shared" si="106"/>
        <v>0.007416666666666667</v>
      </c>
      <c r="AG517" s="316">
        <f t="shared" si="107"/>
      </c>
      <c r="AH517" s="316">
        <f t="shared" si="108"/>
      </c>
      <c r="AI517" s="316">
        <f t="shared" si="109"/>
      </c>
      <c r="AJ517" s="316">
        <f t="shared" si="110"/>
      </c>
      <c r="AK517" s="316">
        <f t="shared" si="111"/>
        <v>1.2</v>
      </c>
    </row>
    <row r="518" spans="16:37" ht="15">
      <c r="P518" s="312">
        <f t="shared" si="112"/>
        <v>1.9229884927052643</v>
      </c>
      <c r="Q518" s="247">
        <v>513</v>
      </c>
      <c r="R518" s="299">
        <f t="shared" si="113"/>
        <v>0.007416666666666667</v>
      </c>
      <c r="S518" s="250">
        <v>1.2</v>
      </c>
      <c r="AA518" s="316">
        <f aca="true" t="shared" si="114" ref="AA518:AA581">IF(P518&gt;=$F$17,IF(P518&lt;$F$18,R518,""),"")</f>
      </c>
      <c r="AB518" s="316">
        <f aca="true" t="shared" si="115" ref="AB518:AB581">IF(P518&gt;=$G$17,IF(P518&lt;$G$18,R518,""),"")</f>
      </c>
      <c r="AC518" s="316">
        <f aca="true" t="shared" si="116" ref="AC518:AC581">IF(P518&gt;=$H$17,IF(P518&lt;$H$18,R518,""),"")</f>
      </c>
      <c r="AD518" s="316">
        <f aca="true" t="shared" si="117" ref="AD518:AD581">IF(P518&gt;=$I$17,IF(P518&lt;$I$18,R518,""),"")</f>
      </c>
      <c r="AE518" s="316">
        <f aca="true" t="shared" si="118" ref="AE518:AE581">IF(P518&gt;=$J$17,IF(P518&lt;$J$18,R518,""),"")</f>
        <v>0.007416666666666667</v>
      </c>
      <c r="AG518" s="316">
        <f t="shared" si="107"/>
      </c>
      <c r="AH518" s="316">
        <f t="shared" si="108"/>
      </c>
      <c r="AI518" s="316">
        <f t="shared" si="109"/>
      </c>
      <c r="AJ518" s="316">
        <f t="shared" si="110"/>
      </c>
      <c r="AK518" s="316">
        <f t="shared" si="111"/>
        <v>1.2</v>
      </c>
    </row>
    <row r="519" spans="16:37" ht="15">
      <c r="P519" s="312">
        <f t="shared" si="112"/>
        <v>1.9348736299171232</v>
      </c>
      <c r="Q519" s="247">
        <v>514</v>
      </c>
      <c r="R519" s="299">
        <f t="shared" si="113"/>
        <v>0.007416666666666667</v>
      </c>
      <c r="S519" s="250">
        <v>1.2</v>
      </c>
      <c r="AA519" s="316">
        <f t="shared" si="114"/>
      </c>
      <c r="AB519" s="316">
        <f t="shared" si="115"/>
      </c>
      <c r="AC519" s="316">
        <f t="shared" si="116"/>
      </c>
      <c r="AD519" s="316">
        <f t="shared" si="117"/>
      </c>
      <c r="AE519" s="316">
        <f t="shared" si="118"/>
        <v>0.007416666666666667</v>
      </c>
      <c r="AG519" s="316">
        <f aca="true" t="shared" si="119" ref="AG519:AG582">IF(P519&gt;=$F$17,IF(P519&lt;$F$18,S519,""),"")</f>
      </c>
      <c r="AH519" s="316">
        <f aca="true" t="shared" si="120" ref="AH519:AH582">IF(P519&gt;=$G$17,IF(P519&lt;$G$18,S519,""),"")</f>
      </c>
      <c r="AI519" s="316">
        <f aca="true" t="shared" si="121" ref="AI519:AI582">IF(P519&gt;=$H$17,IF(P519&lt;$H$18,S519,""),"")</f>
      </c>
      <c r="AJ519" s="316">
        <f aca="true" t="shared" si="122" ref="AJ519:AJ582">IF(P519&gt;=$I$17,IF(P519&lt;$I$18,S519,""),"")</f>
      </c>
      <c r="AK519" s="316">
        <f aca="true" t="shared" si="123" ref="AK519:AK582">IF(P519&gt;=$J$17,IF(P519&lt;$J$18,S519,""),"")</f>
        <v>1.2</v>
      </c>
    </row>
    <row r="520" spans="16:37" ht="15">
      <c r="P520" s="312">
        <f t="shared" si="112"/>
        <v>1.9468322238798055</v>
      </c>
      <c r="Q520" s="247">
        <v>515</v>
      </c>
      <c r="R520" s="299">
        <f t="shared" si="113"/>
        <v>0.007416666666666667</v>
      </c>
      <c r="S520" s="250">
        <v>1.2</v>
      </c>
      <c r="AA520" s="316">
        <f t="shared" si="114"/>
      </c>
      <c r="AB520" s="316">
        <f t="shared" si="115"/>
      </c>
      <c r="AC520" s="316">
        <f t="shared" si="116"/>
      </c>
      <c r="AD520" s="316">
        <f t="shared" si="117"/>
      </c>
      <c r="AE520" s="316">
        <f t="shared" si="118"/>
        <v>0.007416666666666667</v>
      </c>
      <c r="AG520" s="316">
        <f t="shared" si="119"/>
      </c>
      <c r="AH520" s="316">
        <f t="shared" si="120"/>
      </c>
      <c r="AI520" s="316">
        <f t="shared" si="121"/>
      </c>
      <c r="AJ520" s="316">
        <f t="shared" si="122"/>
      </c>
      <c r="AK520" s="316">
        <f t="shared" si="123"/>
        <v>1.2</v>
      </c>
    </row>
    <row r="521" spans="16:37" ht="15">
      <c r="P521" s="312">
        <f t="shared" si="112"/>
        <v>1.9588647285968404</v>
      </c>
      <c r="Q521" s="247">
        <v>516</v>
      </c>
      <c r="R521" s="299">
        <f t="shared" si="113"/>
        <v>0.007416666666666667</v>
      </c>
      <c r="S521" s="250">
        <v>1.2</v>
      </c>
      <c r="AA521" s="316">
        <f t="shared" si="114"/>
      </c>
      <c r="AB521" s="316">
        <f t="shared" si="115"/>
      </c>
      <c r="AC521" s="316">
        <f t="shared" si="116"/>
      </c>
      <c r="AD521" s="316">
        <f t="shared" si="117"/>
      </c>
      <c r="AE521" s="316">
        <f t="shared" si="118"/>
        <v>0.007416666666666667</v>
      </c>
      <c r="AG521" s="316">
        <f t="shared" si="119"/>
      </c>
      <c r="AH521" s="316">
        <f t="shared" si="120"/>
      </c>
      <c r="AI521" s="316">
        <f t="shared" si="121"/>
      </c>
      <c r="AJ521" s="316">
        <f t="shared" si="122"/>
      </c>
      <c r="AK521" s="316">
        <f t="shared" si="123"/>
        <v>1.2</v>
      </c>
    </row>
    <row r="522" spans="16:37" ht="15">
      <c r="P522" s="312">
        <f t="shared" si="112"/>
        <v>1.9709716008777514</v>
      </c>
      <c r="Q522" s="247">
        <v>517</v>
      </c>
      <c r="R522" s="299">
        <f t="shared" si="113"/>
        <v>0.007416666666666667</v>
      </c>
      <c r="S522" s="250">
        <v>1.2</v>
      </c>
      <c r="AA522" s="316">
        <f t="shared" si="114"/>
      </c>
      <c r="AB522" s="316">
        <f t="shared" si="115"/>
      </c>
      <c r="AC522" s="316">
        <f t="shared" si="116"/>
      </c>
      <c r="AD522" s="316">
        <f t="shared" si="117"/>
      </c>
      <c r="AE522" s="316">
        <f t="shared" si="118"/>
        <v>0.007416666666666667</v>
      </c>
      <c r="AG522" s="316">
        <f t="shared" si="119"/>
      </c>
      <c r="AH522" s="316">
        <f t="shared" si="120"/>
      </c>
      <c r="AI522" s="316">
        <f t="shared" si="121"/>
      </c>
      <c r="AJ522" s="316">
        <f t="shared" si="122"/>
      </c>
      <c r="AK522" s="316">
        <f t="shared" si="123"/>
        <v>1.2</v>
      </c>
    </row>
    <row r="523" spans="16:37" ht="15">
      <c r="P523" s="312">
        <f t="shared" si="112"/>
        <v>1.9831533003553985</v>
      </c>
      <c r="Q523" s="247">
        <v>518</v>
      </c>
      <c r="R523" s="299">
        <f t="shared" si="113"/>
        <v>0.007416666666666667</v>
      </c>
      <c r="S523" s="250">
        <v>1.2</v>
      </c>
      <c r="AA523" s="316">
        <f t="shared" si="114"/>
      </c>
      <c r="AB523" s="316">
        <f t="shared" si="115"/>
      </c>
      <c r="AC523" s="316">
        <f t="shared" si="116"/>
      </c>
      <c r="AD523" s="316">
        <f t="shared" si="117"/>
      </c>
      <c r="AE523" s="316">
        <f t="shared" si="118"/>
        <v>0.007416666666666667</v>
      </c>
      <c r="AG523" s="316">
        <f t="shared" si="119"/>
      </c>
      <c r="AH523" s="316">
        <f t="shared" si="120"/>
      </c>
      <c r="AI523" s="316">
        <f t="shared" si="121"/>
      </c>
      <c r="AJ523" s="316">
        <f t="shared" si="122"/>
      </c>
      <c r="AK523" s="316">
        <f t="shared" si="123"/>
        <v>1.2</v>
      </c>
    </row>
    <row r="524" spans="16:37" ht="15">
      <c r="P524" s="312">
        <f aca="true" t="shared" si="124" ref="P524:P587">P523+(P523*R523)/S523</f>
        <v>1.9954102895034285</v>
      </c>
      <c r="Q524" s="247">
        <v>519</v>
      </c>
      <c r="R524" s="299">
        <f t="shared" si="113"/>
        <v>0.007416666666666667</v>
      </c>
      <c r="S524" s="250">
        <v>1.2</v>
      </c>
      <c r="AA524" s="316">
        <f t="shared" si="114"/>
      </c>
      <c r="AB524" s="316">
        <f t="shared" si="115"/>
      </c>
      <c r="AC524" s="316">
        <f t="shared" si="116"/>
      </c>
      <c r="AD524" s="316">
        <f t="shared" si="117"/>
      </c>
      <c r="AE524" s="316">
        <f t="shared" si="118"/>
        <v>0.007416666666666667</v>
      </c>
      <c r="AG524" s="316">
        <f t="shared" si="119"/>
      </c>
      <c r="AH524" s="316">
        <f t="shared" si="120"/>
      </c>
      <c r="AI524" s="316">
        <f t="shared" si="121"/>
      </c>
      <c r="AJ524" s="316">
        <f t="shared" si="122"/>
      </c>
      <c r="AK524" s="316">
        <f t="shared" si="123"/>
        <v>1.2</v>
      </c>
    </row>
    <row r="525" spans="16:37" ht="15">
      <c r="P525" s="312">
        <f t="shared" si="124"/>
        <v>2.0077430336538318</v>
      </c>
      <c r="Q525" s="248">
        <v>520</v>
      </c>
      <c r="R525" s="299">
        <f aca="true" t="shared" si="125" ref="R525:R588">0.0073/1.2</f>
        <v>0.006083333333333334</v>
      </c>
      <c r="S525" s="250">
        <v>1.35</v>
      </c>
      <c r="AA525" s="316">
        <f t="shared" si="114"/>
      </c>
      <c r="AB525" s="316">
        <f t="shared" si="115"/>
      </c>
      <c r="AC525" s="316">
        <f t="shared" si="116"/>
      </c>
      <c r="AD525" s="316">
        <f t="shared" si="117"/>
      </c>
      <c r="AE525" s="316">
        <f t="shared" si="118"/>
      </c>
      <c r="AG525" s="316">
        <f t="shared" si="119"/>
      </c>
      <c r="AH525" s="316">
        <f t="shared" si="120"/>
      </c>
      <c r="AI525" s="316">
        <f t="shared" si="121"/>
      </c>
      <c r="AJ525" s="316">
        <f t="shared" si="122"/>
      </c>
      <c r="AK525" s="316">
        <f t="shared" si="123"/>
      </c>
    </row>
    <row r="526" spans="16:37" ht="15">
      <c r="P526" s="312">
        <f t="shared" si="124"/>
        <v>2.0167902707807905</v>
      </c>
      <c r="Q526" s="247">
        <v>521</v>
      </c>
      <c r="R526" s="299">
        <f t="shared" si="125"/>
        <v>0.006083333333333334</v>
      </c>
      <c r="S526" s="250">
        <v>1.35</v>
      </c>
      <c r="AA526" s="316">
        <f t="shared" si="114"/>
      </c>
      <c r="AB526" s="316">
        <f t="shared" si="115"/>
      </c>
      <c r="AC526" s="316">
        <f t="shared" si="116"/>
      </c>
      <c r="AD526" s="316">
        <f t="shared" si="117"/>
      </c>
      <c r="AE526" s="316">
        <f t="shared" si="118"/>
      </c>
      <c r="AG526" s="316">
        <f t="shared" si="119"/>
      </c>
      <c r="AH526" s="316">
        <f t="shared" si="120"/>
      </c>
      <c r="AI526" s="316">
        <f t="shared" si="121"/>
      </c>
      <c r="AJ526" s="316">
        <f t="shared" si="122"/>
      </c>
      <c r="AK526" s="316">
        <f t="shared" si="123"/>
      </c>
    </row>
    <row r="527" spans="16:37" ht="15">
      <c r="P527" s="312">
        <f t="shared" si="124"/>
        <v>2.025878276321963</v>
      </c>
      <c r="Q527" s="247">
        <v>522</v>
      </c>
      <c r="R527" s="299">
        <f t="shared" si="125"/>
        <v>0.006083333333333334</v>
      </c>
      <c r="S527" s="250">
        <v>1.35</v>
      </c>
      <c r="AA527" s="316">
        <f t="shared" si="114"/>
      </c>
      <c r="AB527" s="316">
        <f t="shared" si="115"/>
      </c>
      <c r="AC527" s="316">
        <f t="shared" si="116"/>
      </c>
      <c r="AD527" s="316">
        <f t="shared" si="117"/>
      </c>
      <c r="AE527" s="316">
        <f t="shared" si="118"/>
      </c>
      <c r="AG527" s="316">
        <f t="shared" si="119"/>
      </c>
      <c r="AH527" s="316">
        <f t="shared" si="120"/>
      </c>
      <c r="AI527" s="316">
        <f t="shared" si="121"/>
      </c>
      <c r="AJ527" s="316">
        <f t="shared" si="122"/>
      </c>
      <c r="AK527" s="316">
        <f t="shared" si="123"/>
      </c>
    </row>
    <row r="528" spans="16:37" ht="15">
      <c r="P528" s="312">
        <f t="shared" si="124"/>
        <v>2.0350072339868706</v>
      </c>
      <c r="Q528" s="247">
        <v>523</v>
      </c>
      <c r="R528" s="299">
        <f t="shared" si="125"/>
        <v>0.006083333333333334</v>
      </c>
      <c r="S528" s="250">
        <v>1.35</v>
      </c>
      <c r="AA528" s="316">
        <f t="shared" si="114"/>
      </c>
      <c r="AB528" s="316">
        <f t="shared" si="115"/>
      </c>
      <c r="AC528" s="316">
        <f t="shared" si="116"/>
      </c>
      <c r="AD528" s="316">
        <f t="shared" si="117"/>
      </c>
      <c r="AE528" s="316">
        <f t="shared" si="118"/>
      </c>
      <c r="AG528" s="316">
        <f t="shared" si="119"/>
      </c>
      <c r="AH528" s="316">
        <f t="shared" si="120"/>
      </c>
      <c r="AI528" s="316">
        <f t="shared" si="121"/>
      </c>
      <c r="AJ528" s="316">
        <f t="shared" si="122"/>
      </c>
      <c r="AK528" s="316">
        <f t="shared" si="123"/>
      </c>
    </row>
    <row r="529" spans="16:37" ht="15">
      <c r="P529" s="312">
        <f t="shared" si="124"/>
        <v>2.044177328312861</v>
      </c>
      <c r="Q529" s="247">
        <v>524</v>
      </c>
      <c r="R529" s="299">
        <f t="shared" si="125"/>
        <v>0.006083333333333334</v>
      </c>
      <c r="S529" s="250">
        <v>1.35</v>
      </c>
      <c r="AA529" s="316">
        <f t="shared" si="114"/>
      </c>
      <c r="AB529" s="316">
        <f t="shared" si="115"/>
      </c>
      <c r="AC529" s="316">
        <f t="shared" si="116"/>
      </c>
      <c r="AD529" s="316">
        <f t="shared" si="117"/>
      </c>
      <c r="AE529" s="316">
        <f t="shared" si="118"/>
      </c>
      <c r="AG529" s="316">
        <f t="shared" si="119"/>
      </c>
      <c r="AH529" s="316">
        <f t="shared" si="120"/>
      </c>
      <c r="AI529" s="316">
        <f t="shared" si="121"/>
      </c>
      <c r="AJ529" s="316">
        <f t="shared" si="122"/>
      </c>
      <c r="AK529" s="316">
        <f t="shared" si="123"/>
      </c>
    </row>
    <row r="530" spans="16:37" ht="15">
      <c r="P530" s="312">
        <f t="shared" si="124"/>
        <v>2.0533887446688386</v>
      </c>
      <c r="Q530" s="247">
        <v>525</v>
      </c>
      <c r="R530" s="299">
        <f t="shared" si="125"/>
        <v>0.006083333333333334</v>
      </c>
      <c r="S530" s="250">
        <v>1.35</v>
      </c>
      <c r="AA530" s="316">
        <f t="shared" si="114"/>
      </c>
      <c r="AB530" s="316">
        <f t="shared" si="115"/>
      </c>
      <c r="AC530" s="316">
        <f t="shared" si="116"/>
      </c>
      <c r="AD530" s="316">
        <f t="shared" si="117"/>
      </c>
      <c r="AE530" s="316">
        <f t="shared" si="118"/>
      </c>
      <c r="AG530" s="316">
        <f t="shared" si="119"/>
      </c>
      <c r="AH530" s="316">
        <f t="shared" si="120"/>
      </c>
      <c r="AI530" s="316">
        <f t="shared" si="121"/>
      </c>
      <c r="AJ530" s="316">
        <f t="shared" si="122"/>
      </c>
      <c r="AK530" s="316">
        <f t="shared" si="123"/>
      </c>
    </row>
    <row r="531" spans="16:37" ht="15">
      <c r="P531" s="312">
        <f t="shared" si="124"/>
        <v>2.062641669259013</v>
      </c>
      <c r="Q531" s="247">
        <v>526</v>
      </c>
      <c r="R531" s="299">
        <f t="shared" si="125"/>
        <v>0.006083333333333334</v>
      </c>
      <c r="S531" s="250">
        <v>1.35</v>
      </c>
      <c r="AA531" s="316">
        <f t="shared" si="114"/>
      </c>
      <c r="AB531" s="316">
        <f t="shared" si="115"/>
      </c>
      <c r="AC531" s="316">
        <f t="shared" si="116"/>
      </c>
      <c r="AD531" s="316">
        <f t="shared" si="117"/>
      </c>
      <c r="AE531" s="316">
        <f t="shared" si="118"/>
      </c>
      <c r="AG531" s="316">
        <f t="shared" si="119"/>
      </c>
      <c r="AH531" s="316">
        <f t="shared" si="120"/>
      </c>
      <c r="AI531" s="316">
        <f t="shared" si="121"/>
      </c>
      <c r="AJ531" s="316">
        <f t="shared" si="122"/>
      </c>
      <c r="AK531" s="316">
        <f t="shared" si="123"/>
      </c>
    </row>
    <row r="532" spans="16:37" ht="15">
      <c r="P532" s="312">
        <f t="shared" si="124"/>
        <v>2.0719362891266613</v>
      </c>
      <c r="Q532" s="247">
        <v>527</v>
      </c>
      <c r="R532" s="299">
        <f t="shared" si="125"/>
        <v>0.006083333333333334</v>
      </c>
      <c r="S532" s="250">
        <v>1.35</v>
      </c>
      <c r="AA532" s="316">
        <f t="shared" si="114"/>
      </c>
      <c r="AB532" s="316">
        <f t="shared" si="115"/>
      </c>
      <c r="AC532" s="316">
        <f t="shared" si="116"/>
      </c>
      <c r="AD532" s="316">
        <f t="shared" si="117"/>
      </c>
      <c r="AE532" s="316">
        <f t="shared" si="118"/>
      </c>
      <c r="AG532" s="316">
        <f t="shared" si="119"/>
      </c>
      <c r="AH532" s="316">
        <f t="shared" si="120"/>
      </c>
      <c r="AI532" s="316">
        <f t="shared" si="121"/>
      </c>
      <c r="AJ532" s="316">
        <f t="shared" si="122"/>
      </c>
      <c r="AK532" s="316">
        <f t="shared" si="123"/>
      </c>
    </row>
    <row r="533" spans="16:37" ht="15">
      <c r="P533" s="312">
        <f t="shared" si="124"/>
        <v>2.081272792157911</v>
      </c>
      <c r="Q533" s="247">
        <v>528</v>
      </c>
      <c r="R533" s="299">
        <f t="shared" si="125"/>
        <v>0.006083333333333334</v>
      </c>
      <c r="S533" s="250">
        <v>1.35</v>
      </c>
      <c r="AA533" s="316">
        <f t="shared" si="114"/>
      </c>
      <c r="AB533" s="316">
        <f t="shared" si="115"/>
      </c>
      <c r="AC533" s="316">
        <f t="shared" si="116"/>
      </c>
      <c r="AD533" s="316">
        <f t="shared" si="117"/>
      </c>
      <c r="AE533" s="316">
        <f t="shared" si="118"/>
      </c>
      <c r="AG533" s="316">
        <f t="shared" si="119"/>
      </c>
      <c r="AH533" s="316">
        <f t="shared" si="120"/>
      </c>
      <c r="AI533" s="316">
        <f t="shared" si="121"/>
      </c>
      <c r="AJ533" s="316">
        <f t="shared" si="122"/>
      </c>
      <c r="AK533" s="316">
        <f t="shared" si="123"/>
      </c>
    </row>
    <row r="534" spans="16:37" ht="15">
      <c r="P534" s="312">
        <f t="shared" si="124"/>
        <v>2.090651367085536</v>
      </c>
      <c r="Q534" s="247">
        <v>529</v>
      </c>
      <c r="R534" s="299">
        <f t="shared" si="125"/>
        <v>0.006083333333333334</v>
      </c>
      <c r="S534" s="250">
        <v>1.35</v>
      </c>
      <c r="AA534" s="316">
        <f t="shared" si="114"/>
      </c>
      <c r="AB534" s="316">
        <f t="shared" si="115"/>
      </c>
      <c r="AC534" s="316">
        <f t="shared" si="116"/>
      </c>
      <c r="AD534" s="316">
        <f t="shared" si="117"/>
      </c>
      <c r="AE534" s="316">
        <f t="shared" si="118"/>
      </c>
      <c r="AG534" s="316">
        <f t="shared" si="119"/>
      </c>
      <c r="AH534" s="316">
        <f t="shared" si="120"/>
      </c>
      <c r="AI534" s="316">
        <f t="shared" si="121"/>
      </c>
      <c r="AJ534" s="316">
        <f t="shared" si="122"/>
      </c>
      <c r="AK534" s="316">
        <f t="shared" si="123"/>
      </c>
    </row>
    <row r="535" spans="16:37" ht="15">
      <c r="P535" s="312">
        <f t="shared" si="124"/>
        <v>2.1000722034927732</v>
      </c>
      <c r="Q535" s="247">
        <v>530</v>
      </c>
      <c r="R535" s="299">
        <f t="shared" si="125"/>
        <v>0.006083333333333334</v>
      </c>
      <c r="S535" s="250">
        <v>1.35</v>
      </c>
      <c r="AA535" s="316">
        <f t="shared" si="114"/>
      </c>
      <c r="AB535" s="316">
        <f t="shared" si="115"/>
      </c>
      <c r="AC535" s="316">
        <f t="shared" si="116"/>
      </c>
      <c r="AD535" s="316">
        <f t="shared" si="117"/>
      </c>
      <c r="AE535" s="316">
        <f t="shared" si="118"/>
      </c>
      <c r="AG535" s="316">
        <f t="shared" si="119"/>
      </c>
      <c r="AH535" s="316">
        <f t="shared" si="120"/>
      </c>
      <c r="AI535" s="316">
        <f t="shared" si="121"/>
      </c>
      <c r="AJ535" s="316">
        <f t="shared" si="122"/>
      </c>
      <c r="AK535" s="316">
        <f t="shared" si="123"/>
      </c>
    </row>
    <row r="536" spans="16:37" ht="15">
      <c r="P536" s="312">
        <f t="shared" si="124"/>
        <v>2.1095354918171543</v>
      </c>
      <c r="Q536" s="247">
        <v>531</v>
      </c>
      <c r="R536" s="299">
        <f t="shared" si="125"/>
        <v>0.006083333333333334</v>
      </c>
      <c r="S536" s="250">
        <v>1.35</v>
      </c>
      <c r="AA536" s="316">
        <f t="shared" si="114"/>
      </c>
      <c r="AB536" s="316">
        <f t="shared" si="115"/>
      </c>
      <c r="AC536" s="316">
        <f t="shared" si="116"/>
      </c>
      <c r="AD536" s="316">
        <f t="shared" si="117"/>
      </c>
      <c r="AE536" s="316">
        <f t="shared" si="118"/>
      </c>
      <c r="AG536" s="316">
        <f t="shared" si="119"/>
      </c>
      <c r="AH536" s="316">
        <f t="shared" si="120"/>
      </c>
      <c r="AI536" s="316">
        <f t="shared" si="121"/>
      </c>
      <c r="AJ536" s="316">
        <f t="shared" si="122"/>
      </c>
      <c r="AK536" s="316">
        <f t="shared" si="123"/>
      </c>
    </row>
    <row r="537" spans="16:37" ht="15">
      <c r="P537" s="312">
        <f t="shared" si="124"/>
        <v>2.119041423354355</v>
      </c>
      <c r="Q537" s="247">
        <v>532</v>
      </c>
      <c r="R537" s="299">
        <f t="shared" si="125"/>
        <v>0.006083333333333334</v>
      </c>
      <c r="S537" s="250">
        <v>1.35</v>
      </c>
      <c r="AA537" s="316">
        <f t="shared" si="114"/>
      </c>
      <c r="AB537" s="316">
        <f t="shared" si="115"/>
      </c>
      <c r="AC537" s="316">
        <f t="shared" si="116"/>
      </c>
      <c r="AD537" s="316">
        <f t="shared" si="117"/>
      </c>
      <c r="AE537" s="316">
        <f t="shared" si="118"/>
      </c>
      <c r="AG537" s="316">
        <f t="shared" si="119"/>
      </c>
      <c r="AH537" s="316">
        <f t="shared" si="120"/>
      </c>
      <c r="AI537" s="316">
        <f t="shared" si="121"/>
      </c>
      <c r="AJ537" s="316">
        <f t="shared" si="122"/>
      </c>
      <c r="AK537" s="316">
        <f t="shared" si="123"/>
      </c>
    </row>
    <row r="538" spans="16:37" ht="15">
      <c r="P538" s="312">
        <f t="shared" si="124"/>
        <v>2.128590190262063</v>
      </c>
      <c r="Q538" s="247">
        <v>533</v>
      </c>
      <c r="R538" s="299">
        <f t="shared" si="125"/>
        <v>0.006083333333333334</v>
      </c>
      <c r="S538" s="250">
        <v>1.35</v>
      </c>
      <c r="AA538" s="316">
        <f t="shared" si="114"/>
      </c>
      <c r="AB538" s="316">
        <f t="shared" si="115"/>
      </c>
      <c r="AC538" s="316">
        <f t="shared" si="116"/>
      </c>
      <c r="AD538" s="316">
        <f t="shared" si="117"/>
      </c>
      <c r="AE538" s="316">
        <f t="shared" si="118"/>
      </c>
      <c r="AG538" s="316">
        <f t="shared" si="119"/>
      </c>
      <c r="AH538" s="316">
        <f t="shared" si="120"/>
      </c>
      <c r="AI538" s="316">
        <f t="shared" si="121"/>
      </c>
      <c r="AJ538" s="316">
        <f t="shared" si="122"/>
      </c>
      <c r="AK538" s="316">
        <f t="shared" si="123"/>
      </c>
    </row>
    <row r="539" spans="16:37" ht="15">
      <c r="P539" s="312">
        <f t="shared" si="124"/>
        <v>2.138181985563861</v>
      </c>
      <c r="Q539" s="247">
        <v>534</v>
      </c>
      <c r="R539" s="299">
        <f t="shared" si="125"/>
        <v>0.006083333333333334</v>
      </c>
      <c r="S539" s="250">
        <v>1.35</v>
      </c>
      <c r="AA539" s="316">
        <f t="shared" si="114"/>
      </c>
      <c r="AB539" s="316">
        <f t="shared" si="115"/>
      </c>
      <c r="AC539" s="316">
        <f t="shared" si="116"/>
      </c>
      <c r="AD539" s="316">
        <f t="shared" si="117"/>
      </c>
      <c r="AE539" s="316">
        <f t="shared" si="118"/>
      </c>
      <c r="AG539" s="316">
        <f t="shared" si="119"/>
      </c>
      <c r="AH539" s="316">
        <f t="shared" si="120"/>
      </c>
      <c r="AI539" s="316">
        <f t="shared" si="121"/>
      </c>
      <c r="AJ539" s="316">
        <f t="shared" si="122"/>
      </c>
      <c r="AK539" s="316">
        <f t="shared" si="123"/>
      </c>
    </row>
    <row r="540" spans="16:37" ht="15">
      <c r="P540" s="312">
        <f t="shared" si="124"/>
        <v>2.1478170031531305</v>
      </c>
      <c r="Q540" s="247">
        <v>535</v>
      </c>
      <c r="R540" s="299">
        <f t="shared" si="125"/>
        <v>0.006083333333333334</v>
      </c>
      <c r="S540" s="250">
        <v>1.35</v>
      </c>
      <c r="AA540" s="316">
        <f t="shared" si="114"/>
      </c>
      <c r="AB540" s="316">
        <f t="shared" si="115"/>
      </c>
      <c r="AC540" s="316">
        <f t="shared" si="116"/>
      </c>
      <c r="AD540" s="316">
        <f t="shared" si="117"/>
      </c>
      <c r="AE540" s="316">
        <f t="shared" si="118"/>
      </c>
      <c r="AG540" s="316">
        <f t="shared" si="119"/>
      </c>
      <c r="AH540" s="316">
        <f t="shared" si="120"/>
      </c>
      <c r="AI540" s="316">
        <f t="shared" si="121"/>
      </c>
      <c r="AJ540" s="316">
        <f t="shared" si="122"/>
      </c>
      <c r="AK540" s="316">
        <f t="shared" si="123"/>
      </c>
    </row>
    <row r="541" spans="16:37" ht="15">
      <c r="P541" s="312">
        <f t="shared" si="124"/>
        <v>2.157495437796969</v>
      </c>
      <c r="Q541" s="247">
        <v>536</v>
      </c>
      <c r="R541" s="299">
        <f t="shared" si="125"/>
        <v>0.006083333333333334</v>
      </c>
      <c r="S541" s="250">
        <v>1.35</v>
      </c>
      <c r="AA541" s="316">
        <f t="shared" si="114"/>
      </c>
      <c r="AB541" s="316">
        <f t="shared" si="115"/>
      </c>
      <c r="AC541" s="316">
        <f t="shared" si="116"/>
      </c>
      <c r="AD541" s="316">
        <f t="shared" si="117"/>
      </c>
      <c r="AE541" s="316">
        <f t="shared" si="118"/>
      </c>
      <c r="AG541" s="316">
        <f t="shared" si="119"/>
      </c>
      <c r="AH541" s="316">
        <f t="shared" si="120"/>
      </c>
      <c r="AI541" s="316">
        <f t="shared" si="121"/>
      </c>
      <c r="AJ541" s="316">
        <f t="shared" si="122"/>
      </c>
      <c r="AK541" s="316">
        <f t="shared" si="123"/>
      </c>
    </row>
    <row r="542" spans="16:37" ht="15">
      <c r="P542" s="312">
        <f t="shared" si="124"/>
        <v>2.167217485140128</v>
      </c>
      <c r="Q542" s="247">
        <v>537</v>
      </c>
      <c r="R542" s="299">
        <f t="shared" si="125"/>
        <v>0.006083333333333334</v>
      </c>
      <c r="S542" s="250">
        <v>1.35</v>
      </c>
      <c r="AA542" s="316">
        <f t="shared" si="114"/>
      </c>
      <c r="AB542" s="316">
        <f t="shared" si="115"/>
      </c>
      <c r="AC542" s="316">
        <f t="shared" si="116"/>
      </c>
      <c r="AD542" s="316">
        <f t="shared" si="117"/>
      </c>
      <c r="AE542" s="316">
        <f t="shared" si="118"/>
      </c>
      <c r="AG542" s="316">
        <f t="shared" si="119"/>
      </c>
      <c r="AH542" s="316">
        <f t="shared" si="120"/>
      </c>
      <c r="AI542" s="316">
        <f t="shared" si="121"/>
      </c>
      <c r="AJ542" s="316">
        <f t="shared" si="122"/>
      </c>
      <c r="AK542" s="316">
        <f t="shared" si="123"/>
      </c>
    </row>
    <row r="543" spans="16:37" ht="15">
      <c r="P543" s="312">
        <f t="shared" si="124"/>
        <v>2.1769833417089695</v>
      </c>
      <c r="Q543" s="247">
        <v>538</v>
      </c>
      <c r="R543" s="299">
        <f t="shared" si="125"/>
        <v>0.006083333333333334</v>
      </c>
      <c r="S543" s="250">
        <v>1.35</v>
      </c>
      <c r="AA543" s="316">
        <f t="shared" si="114"/>
      </c>
      <c r="AB543" s="316">
        <f t="shared" si="115"/>
      </c>
      <c r="AC543" s="316">
        <f t="shared" si="116"/>
      </c>
      <c r="AD543" s="316">
        <f t="shared" si="117"/>
      </c>
      <c r="AE543" s="316">
        <f t="shared" si="118"/>
      </c>
      <c r="AG543" s="316">
        <f t="shared" si="119"/>
      </c>
      <c r="AH543" s="316">
        <f t="shared" si="120"/>
      </c>
      <c r="AI543" s="316">
        <f t="shared" si="121"/>
      </c>
      <c r="AJ543" s="316">
        <f t="shared" si="122"/>
      </c>
      <c r="AK543" s="316">
        <f t="shared" si="123"/>
      </c>
    </row>
    <row r="544" spans="16:37" ht="15">
      <c r="P544" s="312">
        <f t="shared" si="124"/>
        <v>2.186793204915436</v>
      </c>
      <c r="Q544" s="247">
        <v>539</v>
      </c>
      <c r="R544" s="299">
        <f t="shared" si="125"/>
        <v>0.006083333333333334</v>
      </c>
      <c r="S544" s="250">
        <v>1.35</v>
      </c>
      <c r="AA544" s="316">
        <f t="shared" si="114"/>
      </c>
      <c r="AB544" s="316">
        <f t="shared" si="115"/>
      </c>
      <c r="AC544" s="316">
        <f t="shared" si="116"/>
      </c>
      <c r="AD544" s="316">
        <f t="shared" si="117"/>
      </c>
      <c r="AE544" s="316">
        <f t="shared" si="118"/>
      </c>
      <c r="AG544" s="316">
        <f t="shared" si="119"/>
      </c>
      <c r="AH544" s="316">
        <f t="shared" si="120"/>
      </c>
      <c r="AI544" s="316">
        <f t="shared" si="121"/>
      </c>
      <c r="AJ544" s="316">
        <f t="shared" si="122"/>
      </c>
      <c r="AK544" s="316">
        <f t="shared" si="123"/>
      </c>
    </row>
    <row r="545" spans="16:37" ht="15">
      <c r="P545" s="312">
        <f t="shared" si="124"/>
        <v>2.1966472730610427</v>
      </c>
      <c r="Q545" s="247">
        <v>540</v>
      </c>
      <c r="R545" s="299">
        <f t="shared" si="125"/>
        <v>0.006083333333333334</v>
      </c>
      <c r="S545" s="250">
        <v>1.35</v>
      </c>
      <c r="AA545" s="316">
        <f t="shared" si="114"/>
      </c>
      <c r="AB545" s="316">
        <f t="shared" si="115"/>
      </c>
      <c r="AC545" s="316">
        <f t="shared" si="116"/>
      </c>
      <c r="AD545" s="316">
        <f t="shared" si="117"/>
      </c>
      <c r="AE545" s="316">
        <f t="shared" si="118"/>
      </c>
      <c r="AG545" s="316">
        <f t="shared" si="119"/>
      </c>
      <c r="AH545" s="316">
        <f t="shared" si="120"/>
      </c>
      <c r="AI545" s="316">
        <f t="shared" si="121"/>
      </c>
      <c r="AJ545" s="316">
        <f t="shared" si="122"/>
      </c>
      <c r="AK545" s="316">
        <f t="shared" si="123"/>
      </c>
    </row>
    <row r="546" spans="16:37" ht="15">
      <c r="P546" s="312">
        <f t="shared" si="124"/>
        <v>2.2065457453408857</v>
      </c>
      <c r="Q546" s="247">
        <v>541</v>
      </c>
      <c r="R546" s="299">
        <f t="shared" si="125"/>
        <v>0.006083333333333334</v>
      </c>
      <c r="S546" s="250">
        <v>1.35</v>
      </c>
      <c r="AA546" s="316">
        <f t="shared" si="114"/>
      </c>
      <c r="AB546" s="316">
        <f t="shared" si="115"/>
      </c>
      <c r="AC546" s="316">
        <f t="shared" si="116"/>
      </c>
      <c r="AD546" s="316">
        <f t="shared" si="117"/>
      </c>
      <c r="AE546" s="316">
        <f t="shared" si="118"/>
      </c>
      <c r="AG546" s="316">
        <f t="shared" si="119"/>
      </c>
      <c r="AH546" s="316">
        <f t="shared" si="120"/>
      </c>
      <c r="AI546" s="316">
        <f t="shared" si="121"/>
      </c>
      <c r="AJ546" s="316">
        <f t="shared" si="122"/>
      </c>
      <c r="AK546" s="316">
        <f t="shared" si="123"/>
      </c>
    </row>
    <row r="547" spans="16:37" ht="15">
      <c r="P547" s="312">
        <f t="shared" si="124"/>
        <v>2.2164888218476686</v>
      </c>
      <c r="Q547" s="247">
        <v>542</v>
      </c>
      <c r="R547" s="299">
        <f t="shared" si="125"/>
        <v>0.006083333333333334</v>
      </c>
      <c r="S547" s="250">
        <v>1.35</v>
      </c>
      <c r="AA547" s="316">
        <f t="shared" si="114"/>
      </c>
      <c r="AB547" s="316">
        <f t="shared" si="115"/>
      </c>
      <c r="AC547" s="316">
        <f t="shared" si="116"/>
      </c>
      <c r="AD547" s="316">
        <f t="shared" si="117"/>
      </c>
      <c r="AE547" s="316">
        <f t="shared" si="118"/>
      </c>
      <c r="AG547" s="316">
        <f t="shared" si="119"/>
      </c>
      <c r="AH547" s="316">
        <f t="shared" si="120"/>
      </c>
      <c r="AI547" s="316">
        <f t="shared" si="121"/>
      </c>
      <c r="AJ547" s="316">
        <f t="shared" si="122"/>
      </c>
      <c r="AK547" s="316">
        <f t="shared" si="123"/>
      </c>
    </row>
    <row r="548" spans="16:37" ht="15">
      <c r="P548" s="312">
        <f t="shared" si="124"/>
        <v>2.226476703575748</v>
      </c>
      <c r="Q548" s="247">
        <v>543</v>
      </c>
      <c r="R548" s="299">
        <f t="shared" si="125"/>
        <v>0.006083333333333334</v>
      </c>
      <c r="S548" s="250">
        <v>1.35</v>
      </c>
      <c r="AA548" s="316">
        <f t="shared" si="114"/>
      </c>
      <c r="AB548" s="316">
        <f t="shared" si="115"/>
      </c>
      <c r="AC548" s="316">
        <f t="shared" si="116"/>
      </c>
      <c r="AD548" s="316">
        <f t="shared" si="117"/>
      </c>
      <c r="AE548" s="316">
        <f t="shared" si="118"/>
      </c>
      <c r="AG548" s="316">
        <f t="shared" si="119"/>
      </c>
      <c r="AH548" s="316">
        <f t="shared" si="120"/>
      </c>
      <c r="AI548" s="316">
        <f t="shared" si="121"/>
      </c>
      <c r="AJ548" s="316">
        <f t="shared" si="122"/>
      </c>
      <c r="AK548" s="316">
        <f t="shared" si="123"/>
      </c>
    </row>
    <row r="549" spans="16:37" ht="15">
      <c r="P549" s="312">
        <f t="shared" si="124"/>
        <v>2.236509592425194</v>
      </c>
      <c r="Q549" s="247">
        <v>544</v>
      </c>
      <c r="R549" s="299">
        <f t="shared" si="125"/>
        <v>0.006083333333333334</v>
      </c>
      <c r="S549" s="250">
        <v>1.35</v>
      </c>
      <c r="AA549" s="316">
        <f t="shared" si="114"/>
      </c>
      <c r="AB549" s="316">
        <f t="shared" si="115"/>
      </c>
      <c r="AC549" s="316">
        <f t="shared" si="116"/>
      </c>
      <c r="AD549" s="316">
        <f t="shared" si="117"/>
      </c>
      <c r="AE549" s="316">
        <f t="shared" si="118"/>
      </c>
      <c r="AG549" s="316">
        <f t="shared" si="119"/>
      </c>
      <c r="AH549" s="316">
        <f t="shared" si="120"/>
      </c>
      <c r="AI549" s="316">
        <f t="shared" si="121"/>
      </c>
      <c r="AJ549" s="316">
        <f t="shared" si="122"/>
      </c>
      <c r="AK549" s="316">
        <f t="shared" si="123"/>
      </c>
    </row>
    <row r="550" spans="16:37" ht="15">
      <c r="P550" s="312">
        <f t="shared" si="124"/>
        <v>2.2465876912058755</v>
      </c>
      <c r="Q550" s="247">
        <v>545</v>
      </c>
      <c r="R550" s="299">
        <f t="shared" si="125"/>
        <v>0.006083333333333334</v>
      </c>
      <c r="S550" s="250">
        <v>1.35</v>
      </c>
      <c r="AA550" s="316">
        <f t="shared" si="114"/>
      </c>
      <c r="AB550" s="316">
        <f t="shared" si="115"/>
      </c>
      <c r="AC550" s="316">
        <f t="shared" si="116"/>
      </c>
      <c r="AD550" s="316">
        <f t="shared" si="117"/>
      </c>
      <c r="AE550" s="316">
        <f t="shared" si="118"/>
      </c>
      <c r="AG550" s="316">
        <f t="shared" si="119"/>
      </c>
      <c r="AH550" s="316">
        <f t="shared" si="120"/>
      </c>
      <c r="AI550" s="316">
        <f t="shared" si="121"/>
      </c>
      <c r="AJ550" s="316">
        <f t="shared" si="122"/>
      </c>
      <c r="AK550" s="316">
        <f t="shared" si="123"/>
      </c>
    </row>
    <row r="551" spans="16:37" ht="15">
      <c r="P551" s="312">
        <f t="shared" si="124"/>
        <v>2.256711203641556</v>
      </c>
      <c r="Q551" s="247">
        <v>546</v>
      </c>
      <c r="R551" s="299">
        <f t="shared" si="125"/>
        <v>0.006083333333333334</v>
      </c>
      <c r="S551" s="250">
        <v>1.35</v>
      </c>
      <c r="AA551" s="316">
        <f t="shared" si="114"/>
      </c>
      <c r="AB551" s="316">
        <f t="shared" si="115"/>
      </c>
      <c r="AC551" s="316">
        <f t="shared" si="116"/>
      </c>
      <c r="AD551" s="316">
        <f t="shared" si="117"/>
      </c>
      <c r="AE551" s="316">
        <f t="shared" si="118"/>
      </c>
      <c r="AG551" s="316">
        <f t="shared" si="119"/>
      </c>
      <c r="AH551" s="316">
        <f t="shared" si="120"/>
      </c>
      <c r="AI551" s="316">
        <f t="shared" si="121"/>
      </c>
      <c r="AJ551" s="316">
        <f t="shared" si="122"/>
      </c>
      <c r="AK551" s="316">
        <f t="shared" si="123"/>
      </c>
    </row>
    <row r="552" spans="16:37" ht="15">
      <c r="P552" s="312">
        <f t="shared" si="124"/>
        <v>2.266880334374015</v>
      </c>
      <c r="Q552" s="247">
        <v>547</v>
      </c>
      <c r="R552" s="299">
        <f t="shared" si="125"/>
        <v>0.006083333333333334</v>
      </c>
      <c r="S552" s="250">
        <v>1.35</v>
      </c>
      <c r="AA552" s="316">
        <f t="shared" si="114"/>
      </c>
      <c r="AB552" s="316">
        <f t="shared" si="115"/>
      </c>
      <c r="AC552" s="316">
        <f t="shared" si="116"/>
      </c>
      <c r="AD552" s="316">
        <f t="shared" si="117"/>
      </c>
      <c r="AE552" s="316">
        <f t="shared" si="118"/>
      </c>
      <c r="AG552" s="316">
        <f t="shared" si="119"/>
      </c>
      <c r="AH552" s="316">
        <f t="shared" si="120"/>
      </c>
      <c r="AI552" s="316">
        <f t="shared" si="121"/>
      </c>
      <c r="AJ552" s="316">
        <f t="shared" si="122"/>
      </c>
      <c r="AK552" s="316">
        <f t="shared" si="123"/>
      </c>
    </row>
    <row r="553" spans="16:37" ht="15">
      <c r="P553" s="312">
        <f t="shared" si="124"/>
        <v>2.277095288967182</v>
      </c>
      <c r="Q553" s="247">
        <v>548</v>
      </c>
      <c r="R553" s="299">
        <f t="shared" si="125"/>
        <v>0.006083333333333334</v>
      </c>
      <c r="S553" s="250">
        <v>1.35</v>
      </c>
      <c r="AA553" s="316">
        <f t="shared" si="114"/>
      </c>
      <c r="AB553" s="316">
        <f t="shared" si="115"/>
      </c>
      <c r="AC553" s="316">
        <f t="shared" si="116"/>
      </c>
      <c r="AD553" s="316">
        <f t="shared" si="117"/>
      </c>
      <c r="AE553" s="316">
        <f t="shared" si="118"/>
      </c>
      <c r="AG553" s="316">
        <f t="shared" si="119"/>
      </c>
      <c r="AH553" s="316">
        <f t="shared" si="120"/>
      </c>
      <c r="AI553" s="316">
        <f t="shared" si="121"/>
      </c>
      <c r="AJ553" s="316">
        <f t="shared" si="122"/>
      </c>
      <c r="AK553" s="316">
        <f t="shared" si="123"/>
      </c>
    </row>
    <row r="554" spans="16:37" ht="15">
      <c r="P554" s="312">
        <f t="shared" si="124"/>
        <v>2.287356273911293</v>
      </c>
      <c r="Q554" s="247">
        <v>549</v>
      </c>
      <c r="R554" s="299">
        <f t="shared" si="125"/>
        <v>0.006083333333333334</v>
      </c>
      <c r="S554" s="250">
        <v>1.35</v>
      </c>
      <c r="AA554" s="316">
        <f t="shared" si="114"/>
      </c>
      <c r="AB554" s="316">
        <f t="shared" si="115"/>
      </c>
      <c r="AC554" s="316">
        <f t="shared" si="116"/>
      </c>
      <c r="AD554" s="316">
        <f t="shared" si="117"/>
      </c>
      <c r="AE554" s="316">
        <f t="shared" si="118"/>
      </c>
      <c r="AG554" s="316">
        <f t="shared" si="119"/>
      </c>
      <c r="AH554" s="316">
        <f t="shared" si="120"/>
      </c>
      <c r="AI554" s="316">
        <f t="shared" si="121"/>
      </c>
      <c r="AJ554" s="316">
        <f t="shared" si="122"/>
      </c>
      <c r="AK554" s="316">
        <f t="shared" si="123"/>
      </c>
    </row>
    <row r="555" spans="16:37" ht="15">
      <c r="P555" s="312">
        <f t="shared" si="124"/>
        <v>2.297663496627066</v>
      </c>
      <c r="Q555" s="247">
        <v>550</v>
      </c>
      <c r="R555" s="299">
        <f t="shared" si="125"/>
        <v>0.006083333333333334</v>
      </c>
      <c r="S555" s="250">
        <v>1.35</v>
      </c>
      <c r="AA555" s="316">
        <f t="shared" si="114"/>
      </c>
      <c r="AB555" s="316">
        <f t="shared" si="115"/>
      </c>
      <c r="AC555" s="316">
        <f t="shared" si="116"/>
      </c>
      <c r="AD555" s="316">
        <f t="shared" si="117"/>
      </c>
      <c r="AE555" s="316">
        <f t="shared" si="118"/>
      </c>
      <c r="AG555" s="316">
        <f t="shared" si="119"/>
      </c>
      <c r="AH555" s="316">
        <f t="shared" si="120"/>
      </c>
      <c r="AI555" s="316">
        <f t="shared" si="121"/>
      </c>
      <c r="AJ555" s="316">
        <f t="shared" si="122"/>
      </c>
      <c r="AK555" s="316">
        <f t="shared" si="123"/>
      </c>
    </row>
    <row r="556" spans="16:37" ht="15">
      <c r="P556" s="312">
        <f t="shared" si="124"/>
        <v>2.308017165469892</v>
      </c>
      <c r="Q556" s="247">
        <v>551</v>
      </c>
      <c r="R556" s="299">
        <f t="shared" si="125"/>
        <v>0.006083333333333334</v>
      </c>
      <c r="S556" s="250">
        <v>1.35</v>
      </c>
      <c r="AA556" s="316">
        <f t="shared" si="114"/>
      </c>
      <c r="AB556" s="316">
        <f t="shared" si="115"/>
      </c>
      <c r="AC556" s="316">
        <f t="shared" si="116"/>
      </c>
      <c r="AD556" s="316">
        <f t="shared" si="117"/>
      </c>
      <c r="AE556" s="316">
        <f t="shared" si="118"/>
      </c>
      <c r="AG556" s="316">
        <f t="shared" si="119"/>
      </c>
      <c r="AH556" s="316">
        <f t="shared" si="120"/>
      </c>
      <c r="AI556" s="316">
        <f t="shared" si="121"/>
      </c>
      <c r="AJ556" s="316">
        <f t="shared" si="122"/>
      </c>
      <c r="AK556" s="316">
        <f t="shared" si="123"/>
      </c>
    </row>
    <row r="557" spans="16:37" ht="15">
      <c r="P557" s="312">
        <f t="shared" si="124"/>
        <v>2.3184174897340464</v>
      </c>
      <c r="Q557" s="247">
        <v>552</v>
      </c>
      <c r="R557" s="299">
        <f t="shared" si="125"/>
        <v>0.006083333333333334</v>
      </c>
      <c r="S557" s="250">
        <v>1.35</v>
      </c>
      <c r="AA557" s="316">
        <f t="shared" si="114"/>
      </c>
      <c r="AB557" s="316">
        <f t="shared" si="115"/>
      </c>
      <c r="AC557" s="316">
        <f t="shared" si="116"/>
      </c>
      <c r="AD557" s="316">
        <f t="shared" si="117"/>
      </c>
      <c r="AE557" s="316">
        <f t="shared" si="118"/>
      </c>
      <c r="AG557" s="316">
        <f t="shared" si="119"/>
      </c>
      <c r="AH557" s="316">
        <f t="shared" si="120"/>
      </c>
      <c r="AI557" s="316">
        <f t="shared" si="121"/>
      </c>
      <c r="AJ557" s="316">
        <f t="shared" si="122"/>
      </c>
      <c r="AK557" s="316">
        <f t="shared" si="123"/>
      </c>
    </row>
    <row r="558" spans="16:37" ht="15">
      <c r="P558" s="312">
        <f t="shared" si="124"/>
        <v>2.328864679656922</v>
      </c>
      <c r="Q558" s="247">
        <v>553</v>
      </c>
      <c r="R558" s="299">
        <f t="shared" si="125"/>
        <v>0.006083333333333334</v>
      </c>
      <c r="S558" s="250">
        <v>1.35</v>
      </c>
      <c r="AA558" s="316">
        <f t="shared" si="114"/>
      </c>
      <c r="AB558" s="316">
        <f t="shared" si="115"/>
      </c>
      <c r="AC558" s="316">
        <f t="shared" si="116"/>
      </c>
      <c r="AD558" s="316">
        <f t="shared" si="117"/>
      </c>
      <c r="AE558" s="316">
        <f t="shared" si="118"/>
      </c>
      <c r="AG558" s="316">
        <f t="shared" si="119"/>
      </c>
      <c r="AH558" s="316">
        <f t="shared" si="120"/>
      </c>
      <c r="AI558" s="316">
        <f t="shared" si="121"/>
      </c>
      <c r="AJ558" s="316">
        <f t="shared" si="122"/>
      </c>
      <c r="AK558" s="316">
        <f t="shared" si="123"/>
      </c>
    </row>
    <row r="559" spans="16:37" ht="15">
      <c r="P559" s="312">
        <f t="shared" si="124"/>
        <v>2.3393589464232774</v>
      </c>
      <c r="Q559" s="247">
        <v>554</v>
      </c>
      <c r="R559" s="299">
        <f t="shared" si="125"/>
        <v>0.006083333333333334</v>
      </c>
      <c r="S559" s="250">
        <v>1.35</v>
      </c>
      <c r="AA559" s="316">
        <f t="shared" si="114"/>
      </c>
      <c r="AB559" s="316">
        <f t="shared" si="115"/>
      </c>
      <c r="AC559" s="316">
        <f t="shared" si="116"/>
      </c>
      <c r="AD559" s="316">
        <f t="shared" si="117"/>
      </c>
      <c r="AE559" s="316">
        <f t="shared" si="118"/>
      </c>
      <c r="AG559" s="316">
        <f t="shared" si="119"/>
      </c>
      <c r="AH559" s="316">
        <f t="shared" si="120"/>
      </c>
      <c r="AI559" s="316">
        <f t="shared" si="121"/>
      </c>
      <c r="AJ559" s="316">
        <f t="shared" si="122"/>
      </c>
      <c r="AK559" s="316">
        <f t="shared" si="123"/>
      </c>
    </row>
    <row r="560" spans="16:37" ht="15">
      <c r="P560" s="312">
        <f t="shared" si="124"/>
        <v>2.349900502169506</v>
      </c>
      <c r="Q560" s="247">
        <v>555</v>
      </c>
      <c r="R560" s="299">
        <f t="shared" si="125"/>
        <v>0.006083333333333334</v>
      </c>
      <c r="S560" s="250">
        <v>1.35</v>
      </c>
      <c r="AA560" s="316">
        <f t="shared" si="114"/>
      </c>
      <c r="AB560" s="316">
        <f t="shared" si="115"/>
      </c>
      <c r="AC560" s="316">
        <f t="shared" si="116"/>
      </c>
      <c r="AD560" s="316">
        <f t="shared" si="117"/>
      </c>
      <c r="AE560" s="316">
        <f t="shared" si="118"/>
      </c>
      <c r="AG560" s="316">
        <f t="shared" si="119"/>
      </c>
      <c r="AH560" s="316">
        <f t="shared" si="120"/>
      </c>
      <c r="AI560" s="316">
        <f t="shared" si="121"/>
      </c>
      <c r="AJ560" s="316">
        <f t="shared" si="122"/>
      </c>
      <c r="AK560" s="316">
        <f t="shared" si="123"/>
      </c>
    </row>
    <row r="561" spans="16:37" ht="15">
      <c r="P561" s="312">
        <f t="shared" si="124"/>
        <v>2.360489559987924</v>
      </c>
      <c r="Q561" s="247">
        <v>556</v>
      </c>
      <c r="R561" s="299">
        <f t="shared" si="125"/>
        <v>0.006083333333333334</v>
      </c>
      <c r="S561" s="250">
        <v>1.35</v>
      </c>
      <c r="AA561" s="316">
        <f t="shared" si="114"/>
      </c>
      <c r="AB561" s="316">
        <f t="shared" si="115"/>
      </c>
      <c r="AC561" s="316">
        <f t="shared" si="116"/>
      </c>
      <c r="AD561" s="316">
        <f t="shared" si="117"/>
      </c>
      <c r="AE561" s="316">
        <f t="shared" si="118"/>
      </c>
      <c r="AG561" s="316">
        <f t="shared" si="119"/>
      </c>
      <c r="AH561" s="316">
        <f t="shared" si="120"/>
      </c>
      <c r="AI561" s="316">
        <f t="shared" si="121"/>
      </c>
      <c r="AJ561" s="316">
        <f t="shared" si="122"/>
      </c>
      <c r="AK561" s="316">
        <f t="shared" si="123"/>
      </c>
    </row>
    <row r="562" spans="16:37" ht="15">
      <c r="P562" s="312">
        <f t="shared" si="124"/>
        <v>2.3711263339310795</v>
      </c>
      <c r="Q562" s="247">
        <v>557</v>
      </c>
      <c r="R562" s="299">
        <f t="shared" si="125"/>
        <v>0.006083333333333334</v>
      </c>
      <c r="S562" s="250">
        <v>1.35</v>
      </c>
      <c r="AA562" s="316">
        <f t="shared" si="114"/>
      </c>
      <c r="AB562" s="316">
        <f t="shared" si="115"/>
      </c>
      <c r="AC562" s="316">
        <f t="shared" si="116"/>
      </c>
      <c r="AD562" s="316">
        <f t="shared" si="117"/>
      </c>
      <c r="AE562" s="316">
        <f t="shared" si="118"/>
      </c>
      <c r="AG562" s="316">
        <f t="shared" si="119"/>
      </c>
      <c r="AH562" s="316">
        <f t="shared" si="120"/>
      </c>
      <c r="AI562" s="316">
        <f t="shared" si="121"/>
      </c>
      <c r="AJ562" s="316">
        <f t="shared" si="122"/>
      </c>
      <c r="AK562" s="316">
        <f t="shared" si="123"/>
      </c>
    </row>
    <row r="563" spans="16:37" ht="15">
      <c r="P563" s="312">
        <f t="shared" si="124"/>
        <v>2.3818110390160774</v>
      </c>
      <c r="Q563" s="247">
        <v>558</v>
      </c>
      <c r="R563" s="299">
        <f t="shared" si="125"/>
        <v>0.006083333333333334</v>
      </c>
      <c r="S563" s="250">
        <v>1.35</v>
      </c>
      <c r="AA563" s="316">
        <f t="shared" si="114"/>
      </c>
      <c r="AB563" s="316">
        <f t="shared" si="115"/>
      </c>
      <c r="AC563" s="316">
        <f t="shared" si="116"/>
      </c>
      <c r="AD563" s="316">
        <f t="shared" si="117"/>
      </c>
      <c r="AE563" s="316">
        <f t="shared" si="118"/>
      </c>
      <c r="AG563" s="316">
        <f t="shared" si="119"/>
      </c>
      <c r="AH563" s="316">
        <f t="shared" si="120"/>
      </c>
      <c r="AI563" s="316">
        <f t="shared" si="121"/>
      </c>
      <c r="AJ563" s="316">
        <f t="shared" si="122"/>
      </c>
      <c r="AK563" s="316">
        <f t="shared" si="123"/>
      </c>
    </row>
    <row r="564" spans="16:37" ht="15">
      <c r="P564" s="312">
        <f t="shared" si="124"/>
        <v>2.3925438912289274</v>
      </c>
      <c r="Q564" s="247">
        <v>559</v>
      </c>
      <c r="R564" s="299">
        <f t="shared" si="125"/>
        <v>0.006083333333333334</v>
      </c>
      <c r="S564" s="250">
        <v>1.35</v>
      </c>
      <c r="AA564" s="316">
        <f t="shared" si="114"/>
      </c>
      <c r="AB564" s="316">
        <f t="shared" si="115"/>
      </c>
      <c r="AC564" s="316">
        <f t="shared" si="116"/>
      </c>
      <c r="AD564" s="316">
        <f t="shared" si="117"/>
      </c>
      <c r="AE564" s="316">
        <f t="shared" si="118"/>
      </c>
      <c r="AG564" s="316">
        <f t="shared" si="119"/>
      </c>
      <c r="AH564" s="316">
        <f t="shared" si="120"/>
      </c>
      <c r="AI564" s="316">
        <f t="shared" si="121"/>
      </c>
      <c r="AJ564" s="316">
        <f t="shared" si="122"/>
      </c>
      <c r="AK564" s="316">
        <f t="shared" si="123"/>
      </c>
    </row>
    <row r="565" spans="16:37" ht="15">
      <c r="P565" s="312">
        <f t="shared" si="124"/>
        <v>2.4033251075289095</v>
      </c>
      <c r="Q565" s="247">
        <v>560</v>
      </c>
      <c r="R565" s="299">
        <f t="shared" si="125"/>
        <v>0.006083333333333334</v>
      </c>
      <c r="S565" s="250">
        <v>1.35</v>
      </c>
      <c r="AA565" s="316">
        <f t="shared" si="114"/>
      </c>
      <c r="AB565" s="316">
        <f t="shared" si="115"/>
      </c>
      <c r="AC565" s="316">
        <f t="shared" si="116"/>
      </c>
      <c r="AD565" s="316">
        <f t="shared" si="117"/>
      </c>
      <c r="AE565" s="316">
        <f t="shared" si="118"/>
      </c>
      <c r="AG565" s="316">
        <f t="shared" si="119"/>
      </c>
      <c r="AH565" s="316">
        <f t="shared" si="120"/>
      </c>
      <c r="AI565" s="316">
        <f t="shared" si="121"/>
      </c>
      <c r="AJ565" s="316">
        <f t="shared" si="122"/>
      </c>
      <c r="AK565" s="316">
        <f t="shared" si="123"/>
      </c>
    </row>
    <row r="566" spans="16:37" ht="15">
      <c r="P566" s="312">
        <f t="shared" si="124"/>
        <v>2.4141549058529597</v>
      </c>
      <c r="Q566" s="247">
        <v>561</v>
      </c>
      <c r="R566" s="299">
        <f t="shared" si="125"/>
        <v>0.006083333333333334</v>
      </c>
      <c r="S566" s="250">
        <v>1.35</v>
      </c>
      <c r="AA566" s="316">
        <f t="shared" si="114"/>
      </c>
      <c r="AB566" s="316">
        <f t="shared" si="115"/>
      </c>
      <c r="AC566" s="316">
        <f t="shared" si="116"/>
      </c>
      <c r="AD566" s="316">
        <f t="shared" si="117"/>
      </c>
      <c r="AE566" s="316">
        <f t="shared" si="118"/>
      </c>
      <c r="AG566" s="316">
        <f t="shared" si="119"/>
      </c>
      <c r="AH566" s="316">
        <f t="shared" si="120"/>
      </c>
      <c r="AI566" s="316">
        <f t="shared" si="121"/>
      </c>
      <c r="AJ566" s="316">
        <f t="shared" si="122"/>
      </c>
      <c r="AK566" s="316">
        <f t="shared" si="123"/>
      </c>
    </row>
    <row r="567" spans="16:37" ht="15">
      <c r="P567" s="312">
        <f t="shared" si="124"/>
        <v>2.4250335051200747</v>
      </c>
      <c r="Q567" s="247">
        <v>562</v>
      </c>
      <c r="R567" s="299">
        <f t="shared" si="125"/>
        <v>0.006083333333333334</v>
      </c>
      <c r="S567" s="250">
        <v>1.35</v>
      </c>
      <c r="AA567" s="316">
        <f t="shared" si="114"/>
      </c>
      <c r="AB567" s="316">
        <f t="shared" si="115"/>
      </c>
      <c r="AC567" s="316">
        <f t="shared" si="116"/>
      </c>
      <c r="AD567" s="316">
        <f t="shared" si="117"/>
      </c>
      <c r="AE567" s="316">
        <f t="shared" si="118"/>
      </c>
      <c r="AG567" s="316">
        <f t="shared" si="119"/>
      </c>
      <c r="AH567" s="316">
        <f t="shared" si="120"/>
      </c>
      <c r="AI567" s="316">
        <f t="shared" si="121"/>
      </c>
      <c r="AJ567" s="316">
        <f t="shared" si="122"/>
      </c>
      <c r="AK567" s="316">
        <f t="shared" si="123"/>
      </c>
    </row>
    <row r="568" spans="16:37" ht="15">
      <c r="P568" s="312">
        <f t="shared" si="124"/>
        <v>2.4359611252357394</v>
      </c>
      <c r="Q568" s="247">
        <v>563</v>
      </c>
      <c r="R568" s="299">
        <f t="shared" si="125"/>
        <v>0.006083333333333334</v>
      </c>
      <c r="S568" s="250">
        <v>1.35</v>
      </c>
      <c r="AA568" s="316">
        <f t="shared" si="114"/>
      </c>
      <c r="AB568" s="316">
        <f t="shared" si="115"/>
      </c>
      <c r="AC568" s="316">
        <f t="shared" si="116"/>
      </c>
      <c r="AD568" s="316">
        <f t="shared" si="117"/>
      </c>
      <c r="AE568" s="316">
        <f t="shared" si="118"/>
      </c>
      <c r="AG568" s="316">
        <f t="shared" si="119"/>
      </c>
      <c r="AH568" s="316">
        <f t="shared" si="120"/>
      </c>
      <c r="AI568" s="316">
        <f t="shared" si="121"/>
      </c>
      <c r="AJ568" s="316">
        <f t="shared" si="122"/>
      </c>
      <c r="AK568" s="316">
        <f t="shared" si="123"/>
      </c>
    </row>
    <row r="569" spans="16:37" ht="15">
      <c r="P569" s="312">
        <f t="shared" si="124"/>
        <v>2.4469379870963697</v>
      </c>
      <c r="Q569" s="247">
        <v>564</v>
      </c>
      <c r="R569" s="299">
        <f t="shared" si="125"/>
        <v>0.006083333333333334</v>
      </c>
      <c r="S569" s="250">
        <v>1.35</v>
      </c>
      <c r="AA569" s="316">
        <f t="shared" si="114"/>
      </c>
      <c r="AB569" s="316">
        <f t="shared" si="115"/>
      </c>
      <c r="AC569" s="316">
        <f t="shared" si="116"/>
      </c>
      <c r="AD569" s="316">
        <f t="shared" si="117"/>
      </c>
      <c r="AE569" s="316">
        <f t="shared" si="118"/>
      </c>
      <c r="AG569" s="316">
        <f t="shared" si="119"/>
      </c>
      <c r="AH569" s="316">
        <f t="shared" si="120"/>
      </c>
      <c r="AI569" s="316">
        <f t="shared" si="121"/>
      </c>
      <c r="AJ569" s="316">
        <f t="shared" si="122"/>
      </c>
      <c r="AK569" s="316">
        <f t="shared" si="123"/>
      </c>
    </row>
    <row r="570" spans="16:37" ht="15">
      <c r="P570" s="312">
        <f t="shared" si="124"/>
        <v>2.4579643125937793</v>
      </c>
      <c r="Q570" s="247">
        <v>565</v>
      </c>
      <c r="R570" s="299">
        <f t="shared" si="125"/>
        <v>0.006083333333333334</v>
      </c>
      <c r="S570" s="250">
        <v>1.35</v>
      </c>
      <c r="AA570" s="316">
        <f t="shared" si="114"/>
      </c>
      <c r="AB570" s="316">
        <f t="shared" si="115"/>
      </c>
      <c r="AC570" s="316">
        <f t="shared" si="116"/>
      </c>
      <c r="AD570" s="316">
        <f t="shared" si="117"/>
      </c>
      <c r="AE570" s="316">
        <f t="shared" si="118"/>
      </c>
      <c r="AG570" s="316">
        <f t="shared" si="119"/>
      </c>
      <c r="AH570" s="316">
        <f t="shared" si="120"/>
      </c>
      <c r="AI570" s="316">
        <f t="shared" si="121"/>
      </c>
      <c r="AJ570" s="316">
        <f t="shared" si="122"/>
      </c>
      <c r="AK570" s="316">
        <f t="shared" si="123"/>
      </c>
    </row>
    <row r="571" spans="16:37" ht="15">
      <c r="P571" s="312">
        <f t="shared" si="124"/>
        <v>2.469040324619665</v>
      </c>
      <c r="Q571" s="247">
        <v>566</v>
      </c>
      <c r="R571" s="299">
        <f t="shared" si="125"/>
        <v>0.006083333333333334</v>
      </c>
      <c r="S571" s="250">
        <v>1.35</v>
      </c>
      <c r="AA571" s="316">
        <f t="shared" si="114"/>
      </c>
      <c r="AB571" s="316">
        <f t="shared" si="115"/>
      </c>
      <c r="AC571" s="316">
        <f t="shared" si="116"/>
      </c>
      <c r="AD571" s="316">
        <f t="shared" si="117"/>
      </c>
      <c r="AE571" s="316">
        <f t="shared" si="118"/>
      </c>
      <c r="AG571" s="316">
        <f t="shared" si="119"/>
      </c>
      <c r="AH571" s="316">
        <f t="shared" si="120"/>
      </c>
      <c r="AI571" s="316">
        <f t="shared" si="121"/>
      </c>
      <c r="AJ571" s="316">
        <f t="shared" si="122"/>
      </c>
      <c r="AK571" s="316">
        <f t="shared" si="123"/>
      </c>
    </row>
    <row r="572" spans="16:37" ht="15">
      <c r="P572" s="312">
        <f t="shared" si="124"/>
        <v>2.4801662470701116</v>
      </c>
      <c r="Q572" s="247">
        <v>567</v>
      </c>
      <c r="R572" s="299">
        <f t="shared" si="125"/>
        <v>0.006083333333333334</v>
      </c>
      <c r="S572" s="250">
        <v>1.35</v>
      </c>
      <c r="AA572" s="316">
        <f t="shared" si="114"/>
      </c>
      <c r="AB572" s="316">
        <f t="shared" si="115"/>
      </c>
      <c r="AC572" s="316">
        <f t="shared" si="116"/>
      </c>
      <c r="AD572" s="316">
        <f t="shared" si="117"/>
      </c>
      <c r="AE572" s="316">
        <f t="shared" si="118"/>
      </c>
      <c r="AG572" s="316">
        <f t="shared" si="119"/>
      </c>
      <c r="AH572" s="316">
        <f t="shared" si="120"/>
      </c>
      <c r="AI572" s="316">
        <f t="shared" si="121"/>
      </c>
      <c r="AJ572" s="316">
        <f t="shared" si="122"/>
      </c>
      <c r="AK572" s="316">
        <f t="shared" si="123"/>
      </c>
    </row>
    <row r="573" spans="16:37" ht="15">
      <c r="P573" s="312">
        <f t="shared" si="124"/>
        <v>2.491342304850119</v>
      </c>
      <c r="Q573" s="247">
        <v>568</v>
      </c>
      <c r="R573" s="299">
        <f t="shared" si="125"/>
        <v>0.006083333333333334</v>
      </c>
      <c r="S573" s="250">
        <v>1.35</v>
      </c>
      <c r="AA573" s="316">
        <f t="shared" si="114"/>
      </c>
      <c r="AB573" s="316">
        <f t="shared" si="115"/>
      </c>
      <c r="AC573" s="316">
        <f t="shared" si="116"/>
      </c>
      <c r="AD573" s="316">
        <f t="shared" si="117"/>
      </c>
      <c r="AE573" s="316">
        <f t="shared" si="118"/>
      </c>
      <c r="AG573" s="316">
        <f t="shared" si="119"/>
      </c>
      <c r="AH573" s="316">
        <f t="shared" si="120"/>
      </c>
      <c r="AI573" s="316">
        <f t="shared" si="121"/>
      </c>
      <c r="AJ573" s="316">
        <f t="shared" si="122"/>
      </c>
      <c r="AK573" s="316">
        <f t="shared" si="123"/>
      </c>
    </row>
    <row r="574" spans="16:37" ht="15">
      <c r="P574" s="312">
        <f t="shared" si="124"/>
        <v>2.5025687238781473</v>
      </c>
      <c r="Q574" s="247">
        <v>569</v>
      </c>
      <c r="R574" s="299">
        <f t="shared" si="125"/>
        <v>0.006083333333333334</v>
      </c>
      <c r="S574" s="250">
        <v>1.35</v>
      </c>
      <c r="AA574" s="316">
        <f t="shared" si="114"/>
      </c>
      <c r="AB574" s="316">
        <f t="shared" si="115"/>
      </c>
      <c r="AC574" s="316">
        <f t="shared" si="116"/>
      </c>
      <c r="AD574" s="316">
        <f t="shared" si="117"/>
      </c>
      <c r="AE574" s="316">
        <f t="shared" si="118"/>
      </c>
      <c r="AG574" s="316">
        <f t="shared" si="119"/>
      </c>
      <c r="AH574" s="316">
        <f t="shared" si="120"/>
      </c>
      <c r="AI574" s="316">
        <f t="shared" si="121"/>
      </c>
      <c r="AJ574" s="316">
        <f t="shared" si="122"/>
      </c>
      <c r="AK574" s="316">
        <f t="shared" si="123"/>
      </c>
    </row>
    <row r="575" spans="16:37" ht="15">
      <c r="P575" s="312">
        <f t="shared" si="124"/>
        <v>2.5138457310906848</v>
      </c>
      <c r="Q575" s="247">
        <v>570</v>
      </c>
      <c r="R575" s="299">
        <f t="shared" si="125"/>
        <v>0.006083333333333334</v>
      </c>
      <c r="S575" s="250">
        <v>1.35</v>
      </c>
      <c r="AA575" s="316">
        <f t="shared" si="114"/>
      </c>
      <c r="AB575" s="316">
        <f t="shared" si="115"/>
      </c>
      <c r="AC575" s="316">
        <f t="shared" si="116"/>
      </c>
      <c r="AD575" s="316">
        <f t="shared" si="117"/>
      </c>
      <c r="AE575" s="316">
        <f t="shared" si="118"/>
      </c>
      <c r="AG575" s="316">
        <f t="shared" si="119"/>
      </c>
      <c r="AH575" s="316">
        <f t="shared" si="120"/>
      </c>
      <c r="AI575" s="316">
        <f t="shared" si="121"/>
      </c>
      <c r="AJ575" s="316">
        <f t="shared" si="122"/>
      </c>
      <c r="AK575" s="316">
        <f t="shared" si="123"/>
      </c>
    </row>
    <row r="576" spans="16:37" ht="15">
      <c r="P576" s="312">
        <f t="shared" si="124"/>
        <v>2.5251735544468343</v>
      </c>
      <c r="Q576" s="247">
        <v>571</v>
      </c>
      <c r="R576" s="299">
        <f t="shared" si="125"/>
        <v>0.006083333333333334</v>
      </c>
      <c r="S576" s="250">
        <v>1.35</v>
      </c>
      <c r="AA576" s="316">
        <f t="shared" si="114"/>
      </c>
      <c r="AB576" s="316">
        <f t="shared" si="115"/>
      </c>
      <c r="AC576" s="316">
        <f t="shared" si="116"/>
      </c>
      <c r="AD576" s="316">
        <f t="shared" si="117"/>
      </c>
      <c r="AE576" s="316">
        <f t="shared" si="118"/>
      </c>
      <c r="AG576" s="316">
        <f t="shared" si="119"/>
      </c>
      <c r="AH576" s="316">
        <f t="shared" si="120"/>
      </c>
      <c r="AI576" s="316">
        <f t="shared" si="121"/>
      </c>
      <c r="AJ576" s="316">
        <f t="shared" si="122"/>
      </c>
      <c r="AK576" s="316">
        <f t="shared" si="123"/>
      </c>
    </row>
    <row r="577" spans="16:37" ht="15">
      <c r="P577" s="312">
        <f t="shared" si="124"/>
        <v>2.536552422932922</v>
      </c>
      <c r="Q577" s="247">
        <v>572</v>
      </c>
      <c r="R577" s="299">
        <f t="shared" si="125"/>
        <v>0.006083333333333334</v>
      </c>
      <c r="S577" s="250">
        <v>1.35</v>
      </c>
      <c r="AA577" s="316">
        <f t="shared" si="114"/>
      </c>
      <c r="AB577" s="316">
        <f t="shared" si="115"/>
      </c>
      <c r="AC577" s="316">
        <f t="shared" si="116"/>
      </c>
      <c r="AD577" s="316">
        <f t="shared" si="117"/>
      </c>
      <c r="AE577" s="316">
        <f t="shared" si="118"/>
      </c>
      <c r="AG577" s="316">
        <f t="shared" si="119"/>
      </c>
      <c r="AH577" s="316">
        <f t="shared" si="120"/>
      </c>
      <c r="AI577" s="316">
        <f t="shared" si="121"/>
      </c>
      <c r="AJ577" s="316">
        <f t="shared" si="122"/>
      </c>
      <c r="AK577" s="316">
        <f t="shared" si="123"/>
      </c>
    </row>
    <row r="578" spans="16:37" ht="15">
      <c r="P578" s="312">
        <f t="shared" si="124"/>
        <v>2.547982566567126</v>
      </c>
      <c r="Q578" s="247">
        <v>573</v>
      </c>
      <c r="R578" s="299">
        <f t="shared" si="125"/>
        <v>0.006083333333333334</v>
      </c>
      <c r="S578" s="250">
        <v>1.35</v>
      </c>
      <c r="AA578" s="316">
        <f t="shared" si="114"/>
      </c>
      <c r="AB578" s="316">
        <f t="shared" si="115"/>
      </c>
      <c r="AC578" s="316">
        <f t="shared" si="116"/>
      </c>
      <c r="AD578" s="316">
        <f t="shared" si="117"/>
      </c>
      <c r="AE578" s="316">
        <f t="shared" si="118"/>
      </c>
      <c r="AG578" s="316">
        <f t="shared" si="119"/>
      </c>
      <c r="AH578" s="316">
        <f t="shared" si="120"/>
      </c>
      <c r="AI578" s="316">
        <f t="shared" si="121"/>
      </c>
      <c r="AJ578" s="316">
        <f t="shared" si="122"/>
      </c>
      <c r="AK578" s="316">
        <f t="shared" si="123"/>
      </c>
    </row>
    <row r="579" spans="16:37" ht="15">
      <c r="P579" s="312">
        <f t="shared" si="124"/>
        <v>2.559464216404126</v>
      </c>
      <c r="Q579" s="247">
        <v>574</v>
      </c>
      <c r="R579" s="299">
        <f t="shared" si="125"/>
        <v>0.006083333333333334</v>
      </c>
      <c r="S579" s="250">
        <v>1.35</v>
      </c>
      <c r="AA579" s="316">
        <f t="shared" si="114"/>
      </c>
      <c r="AB579" s="316">
        <f t="shared" si="115"/>
      </c>
      <c r="AC579" s="316">
        <f t="shared" si="116"/>
      </c>
      <c r="AD579" s="316">
        <f t="shared" si="117"/>
      </c>
      <c r="AE579" s="316">
        <f t="shared" si="118"/>
      </c>
      <c r="AG579" s="316">
        <f t="shared" si="119"/>
      </c>
      <c r="AH579" s="316">
        <f t="shared" si="120"/>
      </c>
      <c r="AI579" s="316">
        <f t="shared" si="121"/>
      </c>
      <c r="AJ579" s="316">
        <f t="shared" si="122"/>
      </c>
      <c r="AK579" s="316">
        <f t="shared" si="123"/>
      </c>
    </row>
    <row r="580" spans="16:37" ht="15">
      <c r="P580" s="312">
        <f t="shared" si="124"/>
        <v>2.570997604539774</v>
      </c>
      <c r="Q580" s="247">
        <v>575</v>
      </c>
      <c r="R580" s="299">
        <f t="shared" si="125"/>
        <v>0.006083333333333334</v>
      </c>
      <c r="S580" s="250">
        <v>1.35</v>
      </c>
      <c r="AA580" s="316">
        <f t="shared" si="114"/>
      </c>
      <c r="AB580" s="316">
        <f t="shared" si="115"/>
      </c>
      <c r="AC580" s="316">
        <f t="shared" si="116"/>
      </c>
      <c r="AD580" s="316">
        <f t="shared" si="117"/>
      </c>
      <c r="AE580" s="316">
        <f t="shared" si="118"/>
      </c>
      <c r="AG580" s="316">
        <f t="shared" si="119"/>
      </c>
      <c r="AH580" s="316">
        <f t="shared" si="120"/>
      </c>
      <c r="AI580" s="316">
        <f t="shared" si="121"/>
      </c>
      <c r="AJ580" s="316">
        <f t="shared" si="122"/>
      </c>
      <c r="AK580" s="316">
        <f t="shared" si="123"/>
      </c>
    </row>
    <row r="581" spans="16:37" ht="15">
      <c r="P581" s="312">
        <f t="shared" si="124"/>
        <v>2.5825829641157867</v>
      </c>
      <c r="Q581" s="247">
        <v>576</v>
      </c>
      <c r="R581" s="299">
        <f t="shared" si="125"/>
        <v>0.006083333333333334</v>
      </c>
      <c r="S581" s="250">
        <v>1.35</v>
      </c>
      <c r="AA581" s="316">
        <f t="shared" si="114"/>
      </c>
      <c r="AB581" s="316">
        <f t="shared" si="115"/>
      </c>
      <c r="AC581" s="316">
        <f t="shared" si="116"/>
      </c>
      <c r="AD581" s="316">
        <f t="shared" si="117"/>
      </c>
      <c r="AE581" s="316">
        <f t="shared" si="118"/>
      </c>
      <c r="AG581" s="316">
        <f t="shared" si="119"/>
      </c>
      <c r="AH581" s="316">
        <f t="shared" si="120"/>
      </c>
      <c r="AI581" s="316">
        <f t="shared" si="121"/>
      </c>
      <c r="AJ581" s="316">
        <f t="shared" si="122"/>
      </c>
      <c r="AK581" s="316">
        <f t="shared" si="123"/>
      </c>
    </row>
    <row r="582" spans="16:37" ht="15">
      <c r="P582" s="312">
        <f t="shared" si="124"/>
        <v>2.5942205293244567</v>
      </c>
      <c r="Q582" s="247">
        <v>577</v>
      </c>
      <c r="R582" s="299">
        <f t="shared" si="125"/>
        <v>0.006083333333333334</v>
      </c>
      <c r="S582" s="250">
        <v>1.35</v>
      </c>
      <c r="AA582" s="316">
        <f aca="true" t="shared" si="126" ref="AA582:AA645">IF(P582&gt;=$F$17,IF(P582&lt;$F$18,R582,""),"")</f>
      </c>
      <c r="AB582" s="316">
        <f aca="true" t="shared" si="127" ref="AB582:AB645">IF(P582&gt;=$G$17,IF(P582&lt;$G$18,R582,""),"")</f>
      </c>
      <c r="AC582" s="316">
        <f aca="true" t="shared" si="128" ref="AC582:AC645">IF(P582&gt;=$H$17,IF(P582&lt;$H$18,R582,""),"")</f>
      </c>
      <c r="AD582" s="316">
        <f aca="true" t="shared" si="129" ref="AD582:AD645">IF(P582&gt;=$I$17,IF(P582&lt;$I$18,R582,""),"")</f>
      </c>
      <c r="AE582" s="316">
        <f aca="true" t="shared" si="130" ref="AE582:AE645">IF(P582&gt;=$J$17,IF(P582&lt;$J$18,R582,""),"")</f>
      </c>
      <c r="AG582" s="316">
        <f t="shared" si="119"/>
      </c>
      <c r="AH582" s="316">
        <f t="shared" si="120"/>
      </c>
      <c r="AI582" s="316">
        <f t="shared" si="121"/>
      </c>
      <c r="AJ582" s="316">
        <f t="shared" si="122"/>
      </c>
      <c r="AK582" s="316">
        <f t="shared" si="123"/>
      </c>
    </row>
    <row r="583" spans="16:37" ht="15">
      <c r="P583" s="312">
        <f t="shared" si="124"/>
        <v>2.605910535413388</v>
      </c>
      <c r="Q583" s="247">
        <v>578</v>
      </c>
      <c r="R583" s="299">
        <f t="shared" si="125"/>
        <v>0.006083333333333334</v>
      </c>
      <c r="S583" s="250">
        <v>1.35</v>
      </c>
      <c r="AA583" s="316">
        <f t="shared" si="126"/>
      </c>
      <c r="AB583" s="316">
        <f t="shared" si="127"/>
      </c>
      <c r="AC583" s="316">
        <f t="shared" si="128"/>
      </c>
      <c r="AD583" s="316">
        <f t="shared" si="129"/>
      </c>
      <c r="AE583" s="316">
        <f t="shared" si="130"/>
      </c>
      <c r="AG583" s="316">
        <f aca="true" t="shared" si="131" ref="AG583:AG646">IF(P583&gt;=$F$17,IF(P583&lt;$F$18,S583,""),"")</f>
      </c>
      <c r="AH583" s="316">
        <f aca="true" t="shared" si="132" ref="AH583:AH646">IF(P583&gt;=$G$17,IF(P583&lt;$G$18,S583,""),"")</f>
      </c>
      <c r="AI583" s="316">
        <f aca="true" t="shared" si="133" ref="AI583:AI646">IF(P583&gt;=$H$17,IF(P583&lt;$H$18,S583,""),"")</f>
      </c>
      <c r="AJ583" s="316">
        <f aca="true" t="shared" si="134" ref="AJ583:AJ646">IF(P583&gt;=$I$17,IF(P583&lt;$I$18,S583,""),"")</f>
      </c>
      <c r="AK583" s="316">
        <f aca="true" t="shared" si="135" ref="AK583:AK646">IF(P583&gt;=$J$17,IF(P583&lt;$J$18,S583,""),"")</f>
      </c>
    </row>
    <row r="584" spans="16:37" ht="15">
      <c r="P584" s="312">
        <f t="shared" si="124"/>
        <v>2.617653218690251</v>
      </c>
      <c r="Q584" s="247">
        <v>579</v>
      </c>
      <c r="R584" s="299">
        <f t="shared" si="125"/>
        <v>0.006083333333333334</v>
      </c>
      <c r="S584" s="250">
        <v>1.35</v>
      </c>
      <c r="AA584" s="316">
        <f t="shared" si="126"/>
      </c>
      <c r="AB584" s="316">
        <f t="shared" si="127"/>
      </c>
      <c r="AC584" s="316">
        <f t="shared" si="128"/>
      </c>
      <c r="AD584" s="316">
        <f t="shared" si="129"/>
      </c>
      <c r="AE584" s="316">
        <f t="shared" si="130"/>
      </c>
      <c r="AG584" s="316">
        <f t="shared" si="131"/>
      </c>
      <c r="AH584" s="316">
        <f t="shared" si="132"/>
      </c>
      <c r="AI584" s="316">
        <f t="shared" si="133"/>
      </c>
      <c r="AJ584" s="316">
        <f t="shared" si="134"/>
      </c>
      <c r="AK584" s="316">
        <f t="shared" si="135"/>
      </c>
    </row>
    <row r="585" spans="16:37" ht="15">
      <c r="P585" s="312">
        <f t="shared" si="124"/>
        <v>2.629448816527559</v>
      </c>
      <c r="Q585" s="247">
        <v>580</v>
      </c>
      <c r="R585" s="299">
        <f t="shared" si="125"/>
        <v>0.006083333333333334</v>
      </c>
      <c r="S585" s="250">
        <v>1.35</v>
      </c>
      <c r="AA585" s="316">
        <f t="shared" si="126"/>
      </c>
      <c r="AB585" s="316">
        <f t="shared" si="127"/>
      </c>
      <c r="AC585" s="316">
        <f t="shared" si="128"/>
      </c>
      <c r="AD585" s="316">
        <f t="shared" si="129"/>
      </c>
      <c r="AE585" s="316">
        <f t="shared" si="130"/>
      </c>
      <c r="AG585" s="316">
        <f t="shared" si="131"/>
      </c>
      <c r="AH585" s="316">
        <f t="shared" si="132"/>
      </c>
      <c r="AI585" s="316">
        <f t="shared" si="133"/>
      </c>
      <c r="AJ585" s="316">
        <f t="shared" si="134"/>
      </c>
      <c r="AK585" s="316">
        <f t="shared" si="135"/>
      </c>
    </row>
    <row r="586" spans="16:37" ht="15">
      <c r="P586" s="312">
        <f t="shared" si="124"/>
        <v>2.641297567367467</v>
      </c>
      <c r="Q586" s="247">
        <v>581</v>
      </c>
      <c r="R586" s="299">
        <f t="shared" si="125"/>
        <v>0.006083333333333334</v>
      </c>
      <c r="S586" s="250">
        <v>1.35</v>
      </c>
      <c r="AA586" s="316">
        <f t="shared" si="126"/>
      </c>
      <c r="AB586" s="316">
        <f t="shared" si="127"/>
      </c>
      <c r="AC586" s="316">
        <f t="shared" si="128"/>
      </c>
      <c r="AD586" s="316">
        <f t="shared" si="129"/>
      </c>
      <c r="AE586" s="316">
        <f t="shared" si="130"/>
      </c>
      <c r="AG586" s="316">
        <f t="shared" si="131"/>
      </c>
      <c r="AH586" s="316">
        <f t="shared" si="132"/>
      </c>
      <c r="AI586" s="316">
        <f t="shared" si="133"/>
      </c>
      <c r="AJ586" s="316">
        <f t="shared" si="134"/>
      </c>
      <c r="AK586" s="316">
        <f t="shared" si="135"/>
      </c>
    </row>
    <row r="587" spans="16:37" ht="15">
      <c r="P587" s="312">
        <f t="shared" si="124"/>
        <v>2.653199710726592</v>
      </c>
      <c r="Q587" s="247">
        <v>582</v>
      </c>
      <c r="R587" s="299">
        <f t="shared" si="125"/>
        <v>0.006083333333333334</v>
      </c>
      <c r="S587" s="250">
        <v>1.35</v>
      </c>
      <c r="AA587" s="316">
        <f t="shared" si="126"/>
      </c>
      <c r="AB587" s="316">
        <f t="shared" si="127"/>
      </c>
      <c r="AC587" s="316">
        <f t="shared" si="128"/>
      </c>
      <c r="AD587" s="316">
        <f t="shared" si="129"/>
      </c>
      <c r="AE587" s="316">
        <f t="shared" si="130"/>
      </c>
      <c r="AG587" s="316">
        <f t="shared" si="131"/>
      </c>
      <c r="AH587" s="316">
        <f t="shared" si="132"/>
      </c>
      <c r="AI587" s="316">
        <f t="shared" si="133"/>
      </c>
      <c r="AJ587" s="316">
        <f t="shared" si="134"/>
      </c>
      <c r="AK587" s="316">
        <f t="shared" si="135"/>
      </c>
    </row>
    <row r="588" spans="16:37" ht="15">
      <c r="P588" s="312">
        <f aca="true" t="shared" si="136" ref="P588:P651">P587+(P587*R587)/S587</f>
        <v>2.665155487200854</v>
      </c>
      <c r="Q588" s="247">
        <v>583</v>
      </c>
      <c r="R588" s="299">
        <f t="shared" si="125"/>
        <v>0.006083333333333334</v>
      </c>
      <c r="S588" s="250">
        <v>1.35</v>
      </c>
      <c r="AA588" s="316">
        <f t="shared" si="126"/>
      </c>
      <c r="AB588" s="316">
        <f t="shared" si="127"/>
      </c>
      <c r="AC588" s="316">
        <f t="shared" si="128"/>
      </c>
      <c r="AD588" s="316">
        <f t="shared" si="129"/>
      </c>
      <c r="AE588" s="316">
        <f t="shared" si="130"/>
      </c>
      <c r="AG588" s="316">
        <f t="shared" si="131"/>
      </c>
      <c r="AH588" s="316">
        <f t="shared" si="132"/>
      </c>
      <c r="AI588" s="316">
        <f t="shared" si="133"/>
      </c>
      <c r="AJ588" s="316">
        <f t="shared" si="134"/>
      </c>
      <c r="AK588" s="316">
        <f t="shared" si="135"/>
      </c>
    </row>
    <row r="589" spans="16:37" ht="15">
      <c r="P589" s="312">
        <f t="shared" si="136"/>
        <v>2.677165138470339</v>
      </c>
      <c r="Q589" s="247">
        <v>584</v>
      </c>
      <c r="R589" s="299">
        <f aca="true" t="shared" si="137" ref="R589:R598">0.0073/1.2</f>
        <v>0.006083333333333334</v>
      </c>
      <c r="S589" s="250">
        <v>1.35</v>
      </c>
      <c r="AA589" s="316">
        <f t="shared" si="126"/>
      </c>
      <c r="AB589" s="316">
        <f t="shared" si="127"/>
      </c>
      <c r="AC589" s="316">
        <f t="shared" si="128"/>
      </c>
      <c r="AD589" s="316">
        <f t="shared" si="129"/>
      </c>
      <c r="AE589" s="316">
        <f t="shared" si="130"/>
      </c>
      <c r="AG589" s="316">
        <f t="shared" si="131"/>
      </c>
      <c r="AH589" s="316">
        <f t="shared" si="132"/>
      </c>
      <c r="AI589" s="316">
        <f t="shared" si="133"/>
      </c>
      <c r="AJ589" s="316">
        <f t="shared" si="134"/>
      </c>
      <c r="AK589" s="316">
        <f t="shared" si="135"/>
      </c>
    </row>
    <row r="590" spans="16:37" ht="15">
      <c r="P590" s="312">
        <f t="shared" si="136"/>
        <v>2.689228907304187</v>
      </c>
      <c r="Q590" s="247">
        <v>585</v>
      </c>
      <c r="R590" s="299">
        <f t="shared" si="137"/>
        <v>0.006083333333333334</v>
      </c>
      <c r="S590" s="250">
        <v>1.35</v>
      </c>
      <c r="AA590" s="316">
        <f t="shared" si="126"/>
      </c>
      <c r="AB590" s="316">
        <f t="shared" si="127"/>
      </c>
      <c r="AC590" s="316">
        <f t="shared" si="128"/>
      </c>
      <c r="AD590" s="316">
        <f t="shared" si="129"/>
      </c>
      <c r="AE590" s="316">
        <f t="shared" si="130"/>
      </c>
      <c r="AG590" s="316">
        <f t="shared" si="131"/>
      </c>
      <c r="AH590" s="316">
        <f t="shared" si="132"/>
      </c>
      <c r="AI590" s="316">
        <f t="shared" si="133"/>
      </c>
      <c r="AJ590" s="316">
        <f t="shared" si="134"/>
      </c>
      <c r="AK590" s="316">
        <f t="shared" si="135"/>
      </c>
    </row>
    <row r="591" spans="16:37" ht="15">
      <c r="P591" s="312">
        <f t="shared" si="136"/>
        <v>2.7013470375654958</v>
      </c>
      <c r="Q591" s="247">
        <v>586</v>
      </c>
      <c r="R591" s="299">
        <f t="shared" si="137"/>
        <v>0.006083333333333334</v>
      </c>
      <c r="S591" s="250">
        <v>1.35</v>
      </c>
      <c r="AA591" s="316">
        <f t="shared" si="126"/>
      </c>
      <c r="AB591" s="316">
        <f t="shared" si="127"/>
      </c>
      <c r="AC591" s="316">
        <f t="shared" si="128"/>
      </c>
      <c r="AD591" s="316">
        <f t="shared" si="129"/>
      </c>
      <c r="AE591" s="316">
        <f t="shared" si="130"/>
      </c>
      <c r="AG591" s="316">
        <f t="shared" si="131"/>
      </c>
      <c r="AH591" s="316">
        <f t="shared" si="132"/>
      </c>
      <c r="AI591" s="316">
        <f t="shared" si="133"/>
      </c>
      <c r="AJ591" s="316">
        <f t="shared" si="134"/>
      </c>
      <c r="AK591" s="316">
        <f t="shared" si="135"/>
      </c>
    </row>
    <row r="592" spans="16:37" ht="15">
      <c r="P592" s="312">
        <f t="shared" si="136"/>
        <v>2.713519774216254</v>
      </c>
      <c r="Q592" s="247">
        <v>587</v>
      </c>
      <c r="R592" s="299">
        <f t="shared" si="137"/>
        <v>0.006083333333333334</v>
      </c>
      <c r="S592" s="250">
        <v>1.35</v>
      </c>
      <c r="AA592" s="316">
        <f t="shared" si="126"/>
      </c>
      <c r="AB592" s="316">
        <f t="shared" si="127"/>
      </c>
      <c r="AC592" s="316">
        <f t="shared" si="128"/>
      </c>
      <c r="AD592" s="316">
        <f t="shared" si="129"/>
      </c>
      <c r="AE592" s="316">
        <f t="shared" si="130"/>
      </c>
      <c r="AG592" s="316">
        <f t="shared" si="131"/>
      </c>
      <c r="AH592" s="316">
        <f t="shared" si="132"/>
      </c>
      <c r="AI592" s="316">
        <f t="shared" si="133"/>
      </c>
      <c r="AJ592" s="316">
        <f t="shared" si="134"/>
      </c>
      <c r="AK592" s="316">
        <f t="shared" si="135"/>
      </c>
    </row>
    <row r="593" spans="16:37" ht="15">
      <c r="P593" s="312">
        <f t="shared" si="136"/>
        <v>2.72574736332229</v>
      </c>
      <c r="Q593" s="247">
        <v>588</v>
      </c>
      <c r="R593" s="299">
        <f t="shared" si="137"/>
        <v>0.006083333333333334</v>
      </c>
      <c r="S593" s="250">
        <v>1.35</v>
      </c>
      <c r="AA593" s="316">
        <f t="shared" si="126"/>
      </c>
      <c r="AB593" s="316">
        <f t="shared" si="127"/>
      </c>
      <c r="AC593" s="316">
        <f t="shared" si="128"/>
      </c>
      <c r="AD593" s="316">
        <f t="shared" si="129"/>
      </c>
      <c r="AE593" s="316">
        <f t="shared" si="130"/>
      </c>
      <c r="AG593" s="316">
        <f t="shared" si="131"/>
      </c>
      <c r="AH593" s="316">
        <f t="shared" si="132"/>
      </c>
      <c r="AI593" s="316">
        <f t="shared" si="133"/>
      </c>
      <c r="AJ593" s="316">
        <f t="shared" si="134"/>
      </c>
      <c r="AK593" s="316">
        <f t="shared" si="135"/>
      </c>
    </row>
    <row r="594" spans="16:37" ht="15">
      <c r="P594" s="312">
        <f t="shared" si="136"/>
        <v>2.7380300520582486</v>
      </c>
      <c r="Q594" s="247">
        <v>589</v>
      </c>
      <c r="R594" s="299">
        <f t="shared" si="137"/>
        <v>0.006083333333333334</v>
      </c>
      <c r="S594" s="250">
        <v>1.35</v>
      </c>
      <c r="AA594" s="316">
        <f t="shared" si="126"/>
      </c>
      <c r="AB594" s="316">
        <f t="shared" si="127"/>
      </c>
      <c r="AC594" s="316">
        <f t="shared" si="128"/>
      </c>
      <c r="AD594" s="316">
        <f t="shared" si="129"/>
      </c>
      <c r="AE594" s="316">
        <f t="shared" si="130"/>
      </c>
      <c r="AG594" s="316">
        <f t="shared" si="131"/>
      </c>
      <c r="AH594" s="316">
        <f t="shared" si="132"/>
      </c>
      <c r="AI594" s="316">
        <f t="shared" si="133"/>
      </c>
      <c r="AJ594" s="316">
        <f t="shared" si="134"/>
      </c>
      <c r="AK594" s="316">
        <f t="shared" si="135"/>
      </c>
    </row>
    <row r="595" spans="16:37" ht="15">
      <c r="P595" s="312">
        <f t="shared" si="136"/>
        <v>2.750368088712585</v>
      </c>
      <c r="Q595" s="247">
        <v>590</v>
      </c>
      <c r="R595" s="299">
        <f t="shared" si="137"/>
        <v>0.006083333333333334</v>
      </c>
      <c r="S595" s="250">
        <v>1.35</v>
      </c>
      <c r="AA595" s="316">
        <f t="shared" si="126"/>
      </c>
      <c r="AB595" s="316">
        <f t="shared" si="127"/>
      </c>
      <c r="AC595" s="316">
        <f t="shared" si="128"/>
      </c>
      <c r="AD595" s="316">
        <f t="shared" si="129"/>
      </c>
      <c r="AE595" s="316">
        <f t="shared" si="130"/>
      </c>
      <c r="AG595" s="316">
        <f t="shared" si="131"/>
      </c>
      <c r="AH595" s="316">
        <f t="shared" si="132"/>
      </c>
      <c r="AI595" s="316">
        <f t="shared" si="133"/>
      </c>
      <c r="AJ595" s="316">
        <f t="shared" si="134"/>
      </c>
      <c r="AK595" s="316">
        <f t="shared" si="135"/>
      </c>
    </row>
    <row r="596" spans="16:37" ht="15">
      <c r="P596" s="312">
        <f t="shared" si="136"/>
        <v>2.7627617226925865</v>
      </c>
      <c r="Q596" s="247">
        <v>591</v>
      </c>
      <c r="R596" s="299">
        <f t="shared" si="137"/>
        <v>0.006083333333333334</v>
      </c>
      <c r="S596" s="250">
        <v>1.35</v>
      </c>
      <c r="AA596" s="316">
        <f t="shared" si="126"/>
      </c>
      <c r="AB596" s="316">
        <f t="shared" si="127"/>
      </c>
      <c r="AC596" s="316">
        <f t="shared" si="128"/>
      </c>
      <c r="AD596" s="316">
        <f t="shared" si="129"/>
      </c>
      <c r="AE596" s="316">
        <f t="shared" si="130"/>
      </c>
      <c r="AG596" s="316">
        <f t="shared" si="131"/>
      </c>
      <c r="AH596" s="316">
        <f t="shared" si="132"/>
      </c>
      <c r="AI596" s="316">
        <f t="shared" si="133"/>
      </c>
      <c r="AJ596" s="316">
        <f t="shared" si="134"/>
      </c>
      <c r="AK596" s="316">
        <f t="shared" si="135"/>
      </c>
    </row>
    <row r="597" spans="16:37" ht="15">
      <c r="P597" s="312">
        <f t="shared" si="136"/>
        <v>2.7752112045294113</v>
      </c>
      <c r="Q597" s="247">
        <v>592</v>
      </c>
      <c r="R597" s="299">
        <f t="shared" si="137"/>
        <v>0.006083333333333334</v>
      </c>
      <c r="S597" s="250">
        <v>1.35</v>
      </c>
      <c r="AA597" s="316">
        <f t="shared" si="126"/>
      </c>
      <c r="AB597" s="316">
        <f t="shared" si="127"/>
      </c>
      <c r="AC597" s="316">
        <f t="shared" si="128"/>
      </c>
      <c r="AD597" s="316">
        <f t="shared" si="129"/>
      </c>
      <c r="AE597" s="316">
        <f t="shared" si="130"/>
      </c>
      <c r="AG597" s="316">
        <f t="shared" si="131"/>
      </c>
      <c r="AH597" s="316">
        <f t="shared" si="132"/>
      </c>
      <c r="AI597" s="316">
        <f t="shared" si="133"/>
      </c>
      <c r="AJ597" s="316">
        <f t="shared" si="134"/>
      </c>
      <c r="AK597" s="316">
        <f t="shared" si="135"/>
      </c>
    </row>
    <row r="598" spans="16:37" ht="15">
      <c r="P598" s="312">
        <f t="shared" si="136"/>
        <v>2.787716785883155</v>
      </c>
      <c r="Q598" s="247">
        <v>593</v>
      </c>
      <c r="R598" s="299">
        <f t="shared" si="137"/>
        <v>0.006083333333333334</v>
      </c>
      <c r="S598" s="250">
        <v>1.35</v>
      </c>
      <c r="AA598" s="316">
        <f t="shared" si="126"/>
      </c>
      <c r="AB598" s="316">
        <f t="shared" si="127"/>
      </c>
      <c r="AC598" s="316">
        <f t="shared" si="128"/>
      </c>
      <c r="AD598" s="316">
        <f t="shared" si="129"/>
      </c>
      <c r="AE598" s="316">
        <f t="shared" si="130"/>
      </c>
      <c r="AG598" s="316">
        <f t="shared" si="131"/>
      </c>
      <c r="AH598" s="316">
        <f t="shared" si="132"/>
      </c>
      <c r="AI598" s="316">
        <f t="shared" si="133"/>
      </c>
      <c r="AJ598" s="316">
        <f t="shared" si="134"/>
      </c>
      <c r="AK598" s="316">
        <f t="shared" si="135"/>
      </c>
    </row>
    <row r="599" spans="16:37" ht="15">
      <c r="P599" s="312">
        <f t="shared" si="136"/>
        <v>2.8002787195479373</v>
      </c>
      <c r="Q599" s="247">
        <v>594</v>
      </c>
      <c r="R599" s="299">
        <f>0.0066/1.2</f>
        <v>0.0055000000000000005</v>
      </c>
      <c r="S599" s="250">
        <v>1.5</v>
      </c>
      <c r="AA599" s="316">
        <f t="shared" si="126"/>
      </c>
      <c r="AB599" s="316">
        <f t="shared" si="127"/>
      </c>
      <c r="AC599" s="316">
        <f t="shared" si="128"/>
      </c>
      <c r="AD599" s="316">
        <f t="shared" si="129"/>
      </c>
      <c r="AE599" s="316">
        <f t="shared" si="130"/>
      </c>
      <c r="AG599" s="316">
        <f t="shared" si="131"/>
      </c>
      <c r="AH599" s="316">
        <f t="shared" si="132"/>
      </c>
      <c r="AI599" s="316">
        <f t="shared" si="133"/>
      </c>
      <c r="AJ599" s="316">
        <f t="shared" si="134"/>
      </c>
      <c r="AK599" s="316">
        <f t="shared" si="135"/>
      </c>
    </row>
    <row r="600" spans="16:37" ht="15">
      <c r="P600" s="312">
        <f t="shared" si="136"/>
        <v>2.81054640818628</v>
      </c>
      <c r="Q600" s="247">
        <v>595</v>
      </c>
      <c r="R600" s="299">
        <f aca="true" t="shared" si="138" ref="R600:R663">0.0066/1.2</f>
        <v>0.0055000000000000005</v>
      </c>
      <c r="S600" s="250">
        <v>1.5</v>
      </c>
      <c r="AA600" s="316">
        <f t="shared" si="126"/>
      </c>
      <c r="AB600" s="316">
        <f t="shared" si="127"/>
      </c>
      <c r="AC600" s="316">
        <f t="shared" si="128"/>
      </c>
      <c r="AD600" s="316">
        <f t="shared" si="129"/>
      </c>
      <c r="AE600" s="316">
        <f t="shared" si="130"/>
      </c>
      <c r="AG600" s="316">
        <f t="shared" si="131"/>
      </c>
      <c r="AH600" s="316">
        <f t="shared" si="132"/>
      </c>
      <c r="AI600" s="316">
        <f t="shared" si="133"/>
      </c>
      <c r="AJ600" s="316">
        <f t="shared" si="134"/>
      </c>
      <c r="AK600" s="316">
        <f t="shared" si="135"/>
      </c>
    </row>
    <row r="601" spans="16:37" ht="15">
      <c r="P601" s="312">
        <f t="shared" si="136"/>
        <v>2.8208517450162964</v>
      </c>
      <c r="Q601" s="247">
        <v>596</v>
      </c>
      <c r="R601" s="299">
        <f t="shared" si="138"/>
        <v>0.0055000000000000005</v>
      </c>
      <c r="S601" s="250">
        <v>1.5</v>
      </c>
      <c r="AA601" s="316">
        <f t="shared" si="126"/>
      </c>
      <c r="AB601" s="316">
        <f t="shared" si="127"/>
      </c>
      <c r="AC601" s="316">
        <f t="shared" si="128"/>
      </c>
      <c r="AD601" s="316">
        <f t="shared" si="129"/>
      </c>
      <c r="AE601" s="316">
        <f t="shared" si="130"/>
      </c>
      <c r="AG601" s="316">
        <f t="shared" si="131"/>
      </c>
      <c r="AH601" s="316">
        <f t="shared" si="132"/>
      </c>
      <c r="AI601" s="316">
        <f t="shared" si="133"/>
      </c>
      <c r="AJ601" s="316">
        <f t="shared" si="134"/>
      </c>
      <c r="AK601" s="316">
        <f t="shared" si="135"/>
      </c>
    </row>
    <row r="602" spans="16:37" ht="15">
      <c r="P602" s="312">
        <f t="shared" si="136"/>
        <v>2.831194868081356</v>
      </c>
      <c r="Q602" s="247">
        <v>597</v>
      </c>
      <c r="R602" s="299">
        <f t="shared" si="138"/>
        <v>0.0055000000000000005</v>
      </c>
      <c r="S602" s="250">
        <v>1.5</v>
      </c>
      <c r="AA602" s="316">
        <f t="shared" si="126"/>
      </c>
      <c r="AB602" s="316">
        <f t="shared" si="127"/>
      </c>
      <c r="AC602" s="316">
        <f t="shared" si="128"/>
      </c>
      <c r="AD602" s="316">
        <f t="shared" si="129"/>
      </c>
      <c r="AE602" s="316">
        <f t="shared" si="130"/>
      </c>
      <c r="AG602" s="316">
        <f t="shared" si="131"/>
      </c>
      <c r="AH602" s="316">
        <f t="shared" si="132"/>
      </c>
      <c r="AI602" s="316">
        <f t="shared" si="133"/>
      </c>
      <c r="AJ602" s="316">
        <f t="shared" si="134"/>
      </c>
      <c r="AK602" s="316">
        <f t="shared" si="135"/>
      </c>
    </row>
    <row r="603" spans="16:37" ht="15">
      <c r="P603" s="312">
        <f t="shared" si="136"/>
        <v>2.8415759159309877</v>
      </c>
      <c r="Q603" s="247">
        <v>598</v>
      </c>
      <c r="R603" s="299">
        <f t="shared" si="138"/>
        <v>0.0055000000000000005</v>
      </c>
      <c r="S603" s="250">
        <v>1.5</v>
      </c>
      <c r="AA603" s="316">
        <f t="shared" si="126"/>
      </c>
      <c r="AB603" s="316">
        <f t="shared" si="127"/>
      </c>
      <c r="AC603" s="316">
        <f t="shared" si="128"/>
      </c>
      <c r="AD603" s="316">
        <f t="shared" si="129"/>
      </c>
      <c r="AE603" s="316">
        <f t="shared" si="130"/>
      </c>
      <c r="AG603" s="316">
        <f t="shared" si="131"/>
      </c>
      <c r="AH603" s="316">
        <f t="shared" si="132"/>
      </c>
      <c r="AI603" s="316">
        <f t="shared" si="133"/>
      </c>
      <c r="AJ603" s="316">
        <f t="shared" si="134"/>
      </c>
      <c r="AK603" s="316">
        <f t="shared" si="135"/>
      </c>
    </row>
    <row r="604" spans="16:37" ht="15">
      <c r="P604" s="312">
        <f t="shared" si="136"/>
        <v>2.851995027622735</v>
      </c>
      <c r="Q604" s="247">
        <v>599</v>
      </c>
      <c r="R604" s="299">
        <f t="shared" si="138"/>
        <v>0.0055000000000000005</v>
      </c>
      <c r="S604" s="250">
        <v>1.5</v>
      </c>
      <c r="AA604" s="316">
        <f t="shared" si="126"/>
      </c>
      <c r="AB604" s="316">
        <f t="shared" si="127"/>
      </c>
      <c r="AC604" s="316">
        <f t="shared" si="128"/>
      </c>
      <c r="AD604" s="316">
        <f t="shared" si="129"/>
      </c>
      <c r="AE604" s="316">
        <f t="shared" si="130"/>
      </c>
      <c r="AG604" s="316">
        <f t="shared" si="131"/>
      </c>
      <c r="AH604" s="316">
        <f t="shared" si="132"/>
      </c>
      <c r="AI604" s="316">
        <f t="shared" si="133"/>
      </c>
      <c r="AJ604" s="316">
        <f t="shared" si="134"/>
      </c>
      <c r="AK604" s="316">
        <f t="shared" si="135"/>
      </c>
    </row>
    <row r="605" spans="16:37" ht="15">
      <c r="P605" s="312">
        <f t="shared" si="136"/>
        <v>2.8624523427240183</v>
      </c>
      <c r="Q605" s="247">
        <v>600</v>
      </c>
      <c r="R605" s="299">
        <f t="shared" si="138"/>
        <v>0.0055000000000000005</v>
      </c>
      <c r="S605" s="250">
        <v>1.5</v>
      </c>
      <c r="AA605" s="316">
        <f t="shared" si="126"/>
      </c>
      <c r="AB605" s="316">
        <f t="shared" si="127"/>
      </c>
      <c r="AC605" s="316">
        <f t="shared" si="128"/>
      </c>
      <c r="AD605" s="316">
        <f t="shared" si="129"/>
      </c>
      <c r="AE605" s="316">
        <f t="shared" si="130"/>
      </c>
      <c r="AG605" s="316">
        <f t="shared" si="131"/>
      </c>
      <c r="AH605" s="316">
        <f t="shared" si="132"/>
      </c>
      <c r="AI605" s="316">
        <f t="shared" si="133"/>
      </c>
      <c r="AJ605" s="316">
        <f t="shared" si="134"/>
      </c>
      <c r="AK605" s="316">
        <f t="shared" si="135"/>
      </c>
    </row>
    <row r="606" spans="16:37" ht="15">
      <c r="P606" s="312">
        <f t="shared" si="136"/>
        <v>2.8729480013140063</v>
      </c>
      <c r="Q606" s="247">
        <v>601</v>
      </c>
      <c r="R606" s="299">
        <f t="shared" si="138"/>
        <v>0.0055000000000000005</v>
      </c>
      <c r="S606" s="250">
        <v>1.5</v>
      </c>
      <c r="AA606" s="316">
        <f t="shared" si="126"/>
      </c>
      <c r="AB606" s="316">
        <f t="shared" si="127"/>
      </c>
      <c r="AC606" s="316">
        <f t="shared" si="128"/>
      </c>
      <c r="AD606" s="316">
        <f t="shared" si="129"/>
      </c>
      <c r="AE606" s="316">
        <f t="shared" si="130"/>
      </c>
      <c r="AG606" s="316">
        <f t="shared" si="131"/>
      </c>
      <c r="AH606" s="316">
        <f t="shared" si="132"/>
      </c>
      <c r="AI606" s="316">
        <f t="shared" si="133"/>
      </c>
      <c r="AJ606" s="316">
        <f t="shared" si="134"/>
      </c>
      <c r="AK606" s="316">
        <f t="shared" si="135"/>
      </c>
    </row>
    <row r="607" spans="16:37" ht="15">
      <c r="P607" s="312">
        <f t="shared" si="136"/>
        <v>2.883482143985491</v>
      </c>
      <c r="Q607" s="247">
        <v>602</v>
      </c>
      <c r="R607" s="299">
        <f t="shared" si="138"/>
        <v>0.0055000000000000005</v>
      </c>
      <c r="S607" s="250">
        <v>1.5</v>
      </c>
      <c r="AA607" s="316">
        <f t="shared" si="126"/>
      </c>
      <c r="AB607" s="316">
        <f t="shared" si="127"/>
      </c>
      <c r="AC607" s="316">
        <f t="shared" si="128"/>
      </c>
      <c r="AD607" s="316">
        <f t="shared" si="129"/>
      </c>
      <c r="AE607" s="316">
        <f t="shared" si="130"/>
      </c>
      <c r="AG607" s="316">
        <f t="shared" si="131"/>
      </c>
      <c r="AH607" s="316">
        <f t="shared" si="132"/>
      </c>
      <c r="AI607" s="316">
        <f t="shared" si="133"/>
      </c>
      <c r="AJ607" s="316">
        <f t="shared" si="134"/>
      </c>
      <c r="AK607" s="316">
        <f t="shared" si="135"/>
      </c>
    </row>
    <row r="608" spans="16:37" ht="15">
      <c r="P608" s="312">
        <f t="shared" si="136"/>
        <v>2.894054911846771</v>
      </c>
      <c r="Q608" s="247">
        <v>603</v>
      </c>
      <c r="R608" s="299">
        <f t="shared" si="138"/>
        <v>0.0055000000000000005</v>
      </c>
      <c r="S608" s="250">
        <v>1.5</v>
      </c>
      <c r="AA608" s="316">
        <f t="shared" si="126"/>
      </c>
      <c r="AB608" s="316">
        <f t="shared" si="127"/>
      </c>
      <c r="AC608" s="316">
        <f t="shared" si="128"/>
      </c>
      <c r="AD608" s="316">
        <f t="shared" si="129"/>
      </c>
      <c r="AE608" s="316">
        <f t="shared" si="130"/>
      </c>
      <c r="AG608" s="316">
        <f t="shared" si="131"/>
      </c>
      <c r="AH608" s="316">
        <f t="shared" si="132"/>
      </c>
      <c r="AI608" s="316">
        <f t="shared" si="133"/>
      </c>
      <c r="AJ608" s="316">
        <f t="shared" si="134"/>
      </c>
      <c r="AK608" s="316">
        <f t="shared" si="135"/>
      </c>
    </row>
    <row r="609" spans="16:37" ht="15">
      <c r="P609" s="312">
        <f t="shared" si="136"/>
        <v>2.9046664465235428</v>
      </c>
      <c r="Q609" s="247">
        <v>604</v>
      </c>
      <c r="R609" s="299">
        <f t="shared" si="138"/>
        <v>0.0055000000000000005</v>
      </c>
      <c r="S609" s="250">
        <v>1.5</v>
      </c>
      <c r="AA609" s="316">
        <f t="shared" si="126"/>
      </c>
      <c r="AB609" s="316">
        <f t="shared" si="127"/>
      </c>
      <c r="AC609" s="316">
        <f t="shared" si="128"/>
      </c>
      <c r="AD609" s="316">
        <f t="shared" si="129"/>
      </c>
      <c r="AE609" s="316">
        <f t="shared" si="130"/>
      </c>
      <c r="AG609" s="316">
        <f t="shared" si="131"/>
      </c>
      <c r="AH609" s="316">
        <f t="shared" si="132"/>
      </c>
      <c r="AI609" s="316">
        <f t="shared" si="133"/>
      </c>
      <c r="AJ609" s="316">
        <f t="shared" si="134"/>
      </c>
      <c r="AK609" s="316">
        <f t="shared" si="135"/>
      </c>
    </row>
    <row r="610" spans="16:37" ht="15">
      <c r="P610" s="312">
        <f t="shared" si="136"/>
        <v>2.915316890160796</v>
      </c>
      <c r="Q610" s="247">
        <v>605</v>
      </c>
      <c r="R610" s="299">
        <f t="shared" si="138"/>
        <v>0.0055000000000000005</v>
      </c>
      <c r="S610" s="250">
        <v>1.5</v>
      </c>
      <c r="AA610" s="316">
        <f t="shared" si="126"/>
      </c>
      <c r="AB610" s="316">
        <f t="shared" si="127"/>
      </c>
      <c r="AC610" s="316">
        <f t="shared" si="128"/>
      </c>
      <c r="AD610" s="316">
        <f t="shared" si="129"/>
      </c>
      <c r="AE610" s="316">
        <f t="shared" si="130"/>
      </c>
      <c r="AG610" s="316">
        <f t="shared" si="131"/>
      </c>
      <c r="AH610" s="316">
        <f t="shared" si="132"/>
      </c>
      <c r="AI610" s="316">
        <f t="shared" si="133"/>
      </c>
      <c r="AJ610" s="316">
        <f t="shared" si="134"/>
      </c>
      <c r="AK610" s="316">
        <f t="shared" si="135"/>
      </c>
    </row>
    <row r="611" spans="16:37" ht="15">
      <c r="P611" s="312">
        <f t="shared" si="136"/>
        <v>2.926006385424719</v>
      </c>
      <c r="Q611" s="247">
        <v>606</v>
      </c>
      <c r="R611" s="299">
        <f t="shared" si="138"/>
        <v>0.0055000000000000005</v>
      </c>
      <c r="S611" s="250">
        <v>1.5</v>
      </c>
      <c r="AA611" s="316">
        <f t="shared" si="126"/>
      </c>
      <c r="AB611" s="316">
        <f t="shared" si="127"/>
      </c>
      <c r="AC611" s="316">
        <f t="shared" si="128"/>
      </c>
      <c r="AD611" s="316">
        <f t="shared" si="129"/>
      </c>
      <c r="AE611" s="316">
        <f t="shared" si="130"/>
      </c>
      <c r="AG611" s="316">
        <f t="shared" si="131"/>
      </c>
      <c r="AH611" s="316">
        <f t="shared" si="132"/>
      </c>
      <c r="AI611" s="316">
        <f t="shared" si="133"/>
      </c>
      <c r="AJ611" s="316">
        <f t="shared" si="134"/>
      </c>
      <c r="AK611" s="316">
        <f t="shared" si="135"/>
      </c>
    </row>
    <row r="612" spans="16:37" ht="15">
      <c r="P612" s="312">
        <f t="shared" si="136"/>
        <v>2.9367350755046098</v>
      </c>
      <c r="Q612" s="247">
        <v>607</v>
      </c>
      <c r="R612" s="299">
        <f t="shared" si="138"/>
        <v>0.0055000000000000005</v>
      </c>
      <c r="S612" s="250">
        <v>1.5</v>
      </c>
      <c r="AA612" s="316">
        <f t="shared" si="126"/>
      </c>
      <c r="AB612" s="316">
        <f t="shared" si="127"/>
      </c>
      <c r="AC612" s="316">
        <f t="shared" si="128"/>
      </c>
      <c r="AD612" s="316">
        <f t="shared" si="129"/>
      </c>
      <c r="AE612" s="316">
        <f t="shared" si="130"/>
      </c>
      <c r="AG612" s="316">
        <f t="shared" si="131"/>
      </c>
      <c r="AH612" s="316">
        <f t="shared" si="132"/>
      </c>
      <c r="AI612" s="316">
        <f t="shared" si="133"/>
      </c>
      <c r="AJ612" s="316">
        <f t="shared" si="134"/>
      </c>
      <c r="AK612" s="316">
        <f t="shared" si="135"/>
      </c>
    </row>
    <row r="613" spans="16:37" ht="15">
      <c r="P613" s="312">
        <f t="shared" si="136"/>
        <v>2.9475031041147934</v>
      </c>
      <c r="Q613" s="247">
        <v>608</v>
      </c>
      <c r="R613" s="299">
        <f t="shared" si="138"/>
        <v>0.0055000000000000005</v>
      </c>
      <c r="S613" s="250">
        <v>1.5</v>
      </c>
      <c r="AA613" s="316">
        <f t="shared" si="126"/>
      </c>
      <c r="AB613" s="316">
        <f t="shared" si="127"/>
      </c>
      <c r="AC613" s="316">
        <f t="shared" si="128"/>
      </c>
      <c r="AD613" s="316">
        <f t="shared" si="129"/>
      </c>
      <c r="AE613" s="316">
        <f t="shared" si="130"/>
      </c>
      <c r="AG613" s="316">
        <f t="shared" si="131"/>
      </c>
      <c r="AH613" s="316">
        <f t="shared" si="132"/>
      </c>
      <c r="AI613" s="316">
        <f t="shared" si="133"/>
      </c>
      <c r="AJ613" s="316">
        <f t="shared" si="134"/>
      </c>
      <c r="AK613" s="316">
        <f t="shared" si="135"/>
      </c>
    </row>
    <row r="614" spans="16:37" ht="15">
      <c r="P614" s="312">
        <f t="shared" si="136"/>
        <v>2.9583106154965475</v>
      </c>
      <c r="Q614" s="247">
        <v>609</v>
      </c>
      <c r="R614" s="299">
        <f t="shared" si="138"/>
        <v>0.0055000000000000005</v>
      </c>
      <c r="S614" s="250">
        <v>1.5</v>
      </c>
      <c r="AA614" s="316">
        <f t="shared" si="126"/>
      </c>
      <c r="AB614" s="316">
        <f t="shared" si="127"/>
      </c>
      <c r="AC614" s="316">
        <f t="shared" si="128"/>
      </c>
      <c r="AD614" s="316">
        <f t="shared" si="129"/>
      </c>
      <c r="AE614" s="316">
        <f t="shared" si="130"/>
      </c>
      <c r="AG614" s="316">
        <f t="shared" si="131"/>
      </c>
      <c r="AH614" s="316">
        <f t="shared" si="132"/>
      </c>
      <c r="AI614" s="316">
        <f t="shared" si="133"/>
      </c>
      <c r="AJ614" s="316">
        <f t="shared" si="134"/>
      </c>
      <c r="AK614" s="316">
        <f t="shared" si="135"/>
      </c>
    </row>
    <row r="615" spans="16:37" ht="15">
      <c r="P615" s="312">
        <f t="shared" si="136"/>
        <v>2.969157754420035</v>
      </c>
      <c r="Q615" s="247">
        <v>610</v>
      </c>
      <c r="R615" s="299">
        <f t="shared" si="138"/>
        <v>0.0055000000000000005</v>
      </c>
      <c r="S615" s="250">
        <v>1.5</v>
      </c>
      <c r="AA615" s="316">
        <f t="shared" si="126"/>
      </c>
      <c r="AB615" s="316">
        <f t="shared" si="127"/>
      </c>
      <c r="AC615" s="316">
        <f t="shared" si="128"/>
      </c>
      <c r="AD615" s="316">
        <f t="shared" si="129"/>
      </c>
      <c r="AE615" s="316">
        <f t="shared" si="130"/>
      </c>
      <c r="AG615" s="316">
        <f t="shared" si="131"/>
      </c>
      <c r="AH615" s="316">
        <f t="shared" si="132"/>
      </c>
      <c r="AI615" s="316">
        <f t="shared" si="133"/>
      </c>
      <c r="AJ615" s="316">
        <f t="shared" si="134"/>
      </c>
      <c r="AK615" s="316">
        <f t="shared" si="135"/>
      </c>
    </row>
    <row r="616" spans="16:37" ht="15">
      <c r="P616" s="312">
        <f t="shared" si="136"/>
        <v>2.9800446661862416</v>
      </c>
      <c r="Q616" s="247">
        <v>611</v>
      </c>
      <c r="R616" s="299">
        <f t="shared" si="138"/>
        <v>0.0055000000000000005</v>
      </c>
      <c r="S616" s="250">
        <v>1.5</v>
      </c>
      <c r="AA616" s="316">
        <f t="shared" si="126"/>
      </c>
      <c r="AB616" s="316">
        <f t="shared" si="127"/>
      </c>
      <c r="AC616" s="316">
        <f t="shared" si="128"/>
      </c>
      <c r="AD616" s="316">
        <f t="shared" si="129"/>
      </c>
      <c r="AE616" s="316">
        <f t="shared" si="130"/>
      </c>
      <c r="AG616" s="316">
        <f t="shared" si="131"/>
      </c>
      <c r="AH616" s="316">
        <f t="shared" si="132"/>
      </c>
      <c r="AI616" s="316">
        <f t="shared" si="133"/>
      </c>
      <c r="AJ616" s="316">
        <f t="shared" si="134"/>
      </c>
      <c r="AK616" s="316">
        <f t="shared" si="135"/>
      </c>
    </row>
    <row r="617" spans="16:37" ht="15">
      <c r="P617" s="312">
        <f t="shared" si="136"/>
        <v>2.9909714966289247</v>
      </c>
      <c r="Q617" s="247">
        <v>612</v>
      </c>
      <c r="R617" s="299">
        <f t="shared" si="138"/>
        <v>0.0055000000000000005</v>
      </c>
      <c r="S617" s="250">
        <v>1.5</v>
      </c>
      <c r="AA617" s="316">
        <f t="shared" si="126"/>
      </c>
      <c r="AB617" s="316">
        <f t="shared" si="127"/>
      </c>
      <c r="AC617" s="316">
        <f t="shared" si="128"/>
      </c>
      <c r="AD617" s="316">
        <f t="shared" si="129"/>
      </c>
      <c r="AE617" s="316">
        <f t="shared" si="130"/>
      </c>
      <c r="AG617" s="316">
        <f t="shared" si="131"/>
      </c>
      <c r="AH617" s="316">
        <f t="shared" si="132"/>
      </c>
      <c r="AI617" s="316">
        <f t="shared" si="133"/>
      </c>
      <c r="AJ617" s="316">
        <f t="shared" si="134"/>
      </c>
      <c r="AK617" s="316">
        <f t="shared" si="135"/>
      </c>
    </row>
    <row r="618" spans="16:37" ht="15">
      <c r="P618" s="312">
        <f t="shared" si="136"/>
        <v>3.001938392116564</v>
      </c>
      <c r="Q618" s="247">
        <v>613</v>
      </c>
      <c r="R618" s="299">
        <f t="shared" si="138"/>
        <v>0.0055000000000000005</v>
      </c>
      <c r="S618" s="250">
        <v>1.5</v>
      </c>
      <c r="AA618" s="316">
        <f t="shared" si="126"/>
      </c>
      <c r="AB618" s="316">
        <f t="shared" si="127"/>
      </c>
      <c r="AC618" s="316">
        <f t="shared" si="128"/>
      </c>
      <c r="AD618" s="316">
        <f t="shared" si="129"/>
      </c>
      <c r="AE618" s="316">
        <f t="shared" si="130"/>
      </c>
      <c r="AG618" s="316">
        <f t="shared" si="131"/>
      </c>
      <c r="AH618" s="316">
        <f t="shared" si="132"/>
      </c>
      <c r="AI618" s="316">
        <f t="shared" si="133"/>
      </c>
      <c r="AJ618" s="316">
        <f t="shared" si="134"/>
      </c>
      <c r="AK618" s="316">
        <f t="shared" si="135"/>
      </c>
    </row>
    <row r="619" spans="16:37" ht="15">
      <c r="P619" s="312">
        <f t="shared" si="136"/>
        <v>3.012945499554325</v>
      </c>
      <c r="Q619" s="247">
        <v>614</v>
      </c>
      <c r="R619" s="299">
        <f t="shared" si="138"/>
        <v>0.0055000000000000005</v>
      </c>
      <c r="S619" s="250">
        <v>1.5</v>
      </c>
      <c r="AA619" s="316">
        <f t="shared" si="126"/>
      </c>
      <c r="AB619" s="316">
        <f t="shared" si="127"/>
      </c>
      <c r="AC619" s="316">
        <f t="shared" si="128"/>
      </c>
      <c r="AD619" s="316">
        <f t="shared" si="129"/>
      </c>
      <c r="AE619" s="316">
        <f t="shared" si="130"/>
      </c>
      <c r="AG619" s="316">
        <f t="shared" si="131"/>
      </c>
      <c r="AH619" s="316">
        <f t="shared" si="132"/>
      </c>
      <c r="AI619" s="316">
        <f t="shared" si="133"/>
      </c>
      <c r="AJ619" s="316">
        <f t="shared" si="134"/>
      </c>
      <c r="AK619" s="316">
        <f t="shared" si="135"/>
      </c>
    </row>
    <row r="620" spans="16:37" ht="15">
      <c r="P620" s="312">
        <f t="shared" si="136"/>
        <v>3.023992966386024</v>
      </c>
      <c r="Q620" s="247">
        <v>615</v>
      </c>
      <c r="R620" s="299">
        <f t="shared" si="138"/>
        <v>0.0055000000000000005</v>
      </c>
      <c r="S620" s="250">
        <v>1.5</v>
      </c>
      <c r="AA620" s="316">
        <f t="shared" si="126"/>
      </c>
      <c r="AB620" s="316">
        <f t="shared" si="127"/>
      </c>
      <c r="AC620" s="316">
        <f t="shared" si="128"/>
      </c>
      <c r="AD620" s="316">
        <f t="shared" si="129"/>
      </c>
      <c r="AE620" s="316">
        <f t="shared" si="130"/>
      </c>
      <c r="AG620" s="316">
        <f t="shared" si="131"/>
      </c>
      <c r="AH620" s="316">
        <f t="shared" si="132"/>
      </c>
      <c r="AI620" s="316">
        <f t="shared" si="133"/>
      </c>
      <c r="AJ620" s="316">
        <f t="shared" si="134"/>
      </c>
      <c r="AK620" s="316">
        <f t="shared" si="135"/>
      </c>
    </row>
    <row r="621" spans="16:37" ht="15">
      <c r="P621" s="312">
        <f t="shared" si="136"/>
        <v>3.035080940596106</v>
      </c>
      <c r="Q621" s="247">
        <v>616</v>
      </c>
      <c r="R621" s="299">
        <f t="shared" si="138"/>
        <v>0.0055000000000000005</v>
      </c>
      <c r="S621" s="250">
        <v>1.5</v>
      </c>
      <c r="AA621" s="316">
        <f t="shared" si="126"/>
      </c>
      <c r="AB621" s="316">
        <f t="shared" si="127"/>
      </c>
      <c r="AC621" s="316">
        <f t="shared" si="128"/>
      </c>
      <c r="AD621" s="316">
        <f t="shared" si="129"/>
      </c>
      <c r="AE621" s="316">
        <f t="shared" si="130"/>
      </c>
      <c r="AG621" s="316">
        <f t="shared" si="131"/>
      </c>
      <c r="AH621" s="316">
        <f t="shared" si="132"/>
      </c>
      <c r="AI621" s="316">
        <f t="shared" si="133"/>
      </c>
      <c r="AJ621" s="316">
        <f t="shared" si="134"/>
      </c>
      <c r="AK621" s="316">
        <f t="shared" si="135"/>
      </c>
    </row>
    <row r="622" spans="16:37" ht="15">
      <c r="P622" s="312">
        <f t="shared" si="136"/>
        <v>3.0462095707116252</v>
      </c>
      <c r="Q622" s="247">
        <v>617</v>
      </c>
      <c r="R622" s="299">
        <f t="shared" si="138"/>
        <v>0.0055000000000000005</v>
      </c>
      <c r="S622" s="250">
        <v>1.5</v>
      </c>
      <c r="AA622" s="316">
        <f t="shared" si="126"/>
      </c>
      <c r="AB622" s="316">
        <f t="shared" si="127"/>
      </c>
      <c r="AC622" s="316">
        <f t="shared" si="128"/>
      </c>
      <c r="AD622" s="316">
        <f t="shared" si="129"/>
      </c>
      <c r="AE622" s="316">
        <f t="shared" si="130"/>
      </c>
      <c r="AG622" s="316">
        <f t="shared" si="131"/>
      </c>
      <c r="AH622" s="316">
        <f t="shared" si="132"/>
      </c>
      <c r="AI622" s="316">
        <f t="shared" si="133"/>
      </c>
      <c r="AJ622" s="316">
        <f t="shared" si="134"/>
      </c>
      <c r="AK622" s="316">
        <f t="shared" si="135"/>
      </c>
    </row>
    <row r="623" spans="16:37" ht="15">
      <c r="P623" s="312">
        <f t="shared" si="136"/>
        <v>3.0573790058042345</v>
      </c>
      <c r="Q623" s="247">
        <v>618</v>
      </c>
      <c r="R623" s="299">
        <f t="shared" si="138"/>
        <v>0.0055000000000000005</v>
      </c>
      <c r="S623" s="250">
        <v>1.5</v>
      </c>
      <c r="AA623" s="316">
        <f t="shared" si="126"/>
      </c>
      <c r="AB623" s="316">
        <f t="shared" si="127"/>
      </c>
      <c r="AC623" s="316">
        <f t="shared" si="128"/>
      </c>
      <c r="AD623" s="316">
        <f t="shared" si="129"/>
      </c>
      <c r="AE623" s="316">
        <f t="shared" si="130"/>
      </c>
      <c r="AG623" s="316">
        <f t="shared" si="131"/>
      </c>
      <c r="AH623" s="316">
        <f t="shared" si="132"/>
      </c>
      <c r="AI623" s="316">
        <f t="shared" si="133"/>
      </c>
      <c r="AJ623" s="316">
        <f t="shared" si="134"/>
      </c>
      <c r="AK623" s="316">
        <f t="shared" si="135"/>
      </c>
    </row>
    <row r="624" spans="16:37" ht="15">
      <c r="P624" s="312">
        <f t="shared" si="136"/>
        <v>3.0685893954921832</v>
      </c>
      <c r="Q624" s="247">
        <v>619</v>
      </c>
      <c r="R624" s="299">
        <f t="shared" si="138"/>
        <v>0.0055000000000000005</v>
      </c>
      <c r="S624" s="250">
        <v>1.5</v>
      </c>
      <c r="AA624" s="316">
        <f t="shared" si="126"/>
      </c>
      <c r="AB624" s="316">
        <f t="shared" si="127"/>
      </c>
      <c r="AC624" s="316">
        <f t="shared" si="128"/>
      </c>
      <c r="AD624" s="316">
        <f t="shared" si="129"/>
      </c>
      <c r="AE624" s="316">
        <f t="shared" si="130"/>
      </c>
      <c r="AG624" s="316">
        <f t="shared" si="131"/>
      </c>
      <c r="AH624" s="316">
        <f t="shared" si="132"/>
      </c>
      <c r="AI624" s="316">
        <f t="shared" si="133"/>
      </c>
      <c r="AJ624" s="316">
        <f t="shared" si="134"/>
      </c>
      <c r="AK624" s="316">
        <f t="shared" si="135"/>
      </c>
    </row>
    <row r="625" spans="16:37" ht="15">
      <c r="P625" s="312">
        <f t="shared" si="136"/>
        <v>3.079840889942321</v>
      </c>
      <c r="Q625" s="247">
        <v>620</v>
      </c>
      <c r="R625" s="299">
        <f t="shared" si="138"/>
        <v>0.0055000000000000005</v>
      </c>
      <c r="S625" s="250">
        <v>1.5</v>
      </c>
      <c r="AA625" s="316">
        <f t="shared" si="126"/>
      </c>
      <c r="AB625" s="316">
        <f t="shared" si="127"/>
      </c>
      <c r="AC625" s="316">
        <f t="shared" si="128"/>
      </c>
      <c r="AD625" s="316">
        <f t="shared" si="129"/>
      </c>
      <c r="AE625" s="316">
        <f t="shared" si="130"/>
      </c>
      <c r="AG625" s="316">
        <f t="shared" si="131"/>
      </c>
      <c r="AH625" s="316">
        <f t="shared" si="132"/>
      </c>
      <c r="AI625" s="316">
        <f t="shared" si="133"/>
      </c>
      <c r="AJ625" s="316">
        <f t="shared" si="134"/>
      </c>
      <c r="AK625" s="316">
        <f t="shared" si="135"/>
      </c>
    </row>
    <row r="626" spans="16:37" ht="15">
      <c r="P626" s="312">
        <f t="shared" si="136"/>
        <v>3.0911336398721097</v>
      </c>
      <c r="Q626" s="247">
        <v>621</v>
      </c>
      <c r="R626" s="299">
        <f t="shared" si="138"/>
        <v>0.0055000000000000005</v>
      </c>
      <c r="S626" s="250">
        <v>1.5</v>
      </c>
      <c r="AA626" s="316">
        <f t="shared" si="126"/>
      </c>
      <c r="AB626" s="316">
        <f t="shared" si="127"/>
      </c>
      <c r="AC626" s="316">
        <f t="shared" si="128"/>
      </c>
      <c r="AD626" s="316">
        <f t="shared" si="129"/>
      </c>
      <c r="AE626" s="316">
        <f t="shared" si="130"/>
      </c>
      <c r="AG626" s="316">
        <f t="shared" si="131"/>
      </c>
      <c r="AH626" s="316">
        <f t="shared" si="132"/>
      </c>
      <c r="AI626" s="316">
        <f t="shared" si="133"/>
      </c>
      <c r="AJ626" s="316">
        <f t="shared" si="134"/>
      </c>
      <c r="AK626" s="316">
        <f t="shared" si="135"/>
      </c>
    </row>
    <row r="627" spans="16:37" ht="15">
      <c r="P627" s="312">
        <f t="shared" si="136"/>
        <v>3.1024677965516405</v>
      </c>
      <c r="Q627" s="247">
        <v>622</v>
      </c>
      <c r="R627" s="299">
        <f t="shared" si="138"/>
        <v>0.0055000000000000005</v>
      </c>
      <c r="S627" s="250">
        <v>1.5</v>
      </c>
      <c r="AA627" s="316">
        <f t="shared" si="126"/>
      </c>
      <c r="AB627" s="316">
        <f t="shared" si="127"/>
      </c>
      <c r="AC627" s="316">
        <f t="shared" si="128"/>
      </c>
      <c r="AD627" s="316">
        <f t="shared" si="129"/>
      </c>
      <c r="AE627" s="316">
        <f t="shared" si="130"/>
      </c>
      <c r="AG627" s="316">
        <f t="shared" si="131"/>
      </c>
      <c r="AH627" s="316">
        <f t="shared" si="132"/>
      </c>
      <c r="AI627" s="316">
        <f t="shared" si="133"/>
      </c>
      <c r="AJ627" s="316">
        <f t="shared" si="134"/>
      </c>
      <c r="AK627" s="316">
        <f t="shared" si="135"/>
      </c>
    </row>
    <row r="628" spans="16:37" ht="15">
      <c r="P628" s="312">
        <f t="shared" si="136"/>
        <v>3.1138435118056633</v>
      </c>
      <c r="Q628" s="247">
        <v>623</v>
      </c>
      <c r="R628" s="299">
        <f t="shared" si="138"/>
        <v>0.0055000000000000005</v>
      </c>
      <c r="S628" s="250">
        <v>1.5</v>
      </c>
      <c r="AA628" s="316">
        <f t="shared" si="126"/>
      </c>
      <c r="AB628" s="316">
        <f t="shared" si="127"/>
      </c>
      <c r="AC628" s="316">
        <f t="shared" si="128"/>
      </c>
      <c r="AD628" s="316">
        <f t="shared" si="129"/>
      </c>
      <c r="AE628" s="316">
        <f t="shared" si="130"/>
      </c>
      <c r="AG628" s="316">
        <f t="shared" si="131"/>
      </c>
      <c r="AH628" s="316">
        <f t="shared" si="132"/>
      </c>
      <c r="AI628" s="316">
        <f t="shared" si="133"/>
      </c>
      <c r="AJ628" s="316">
        <f t="shared" si="134"/>
      </c>
      <c r="AK628" s="316">
        <f t="shared" si="135"/>
      </c>
    </row>
    <row r="629" spans="16:37" ht="15">
      <c r="P629" s="312">
        <f t="shared" si="136"/>
        <v>3.1252609380156176</v>
      </c>
      <c r="Q629" s="247">
        <v>624</v>
      </c>
      <c r="R629" s="299">
        <f t="shared" si="138"/>
        <v>0.0055000000000000005</v>
      </c>
      <c r="S629" s="250">
        <v>1.5</v>
      </c>
      <c r="AA629" s="316">
        <f t="shared" si="126"/>
      </c>
      <c r="AB629" s="316">
        <f t="shared" si="127"/>
      </c>
      <c r="AC629" s="316">
        <f t="shared" si="128"/>
      </c>
      <c r="AD629" s="316">
        <f t="shared" si="129"/>
      </c>
      <c r="AE629" s="316">
        <f t="shared" si="130"/>
      </c>
      <c r="AG629" s="316">
        <f t="shared" si="131"/>
      </c>
      <c r="AH629" s="316">
        <f t="shared" si="132"/>
      </c>
      <c r="AI629" s="316">
        <f t="shared" si="133"/>
      </c>
      <c r="AJ629" s="316">
        <f t="shared" si="134"/>
      </c>
      <c r="AK629" s="316">
        <f t="shared" si="135"/>
      </c>
    </row>
    <row r="630" spans="16:37" ht="15">
      <c r="P630" s="312">
        <f t="shared" si="136"/>
        <v>3.136720228121675</v>
      </c>
      <c r="Q630" s="247">
        <v>625</v>
      </c>
      <c r="R630" s="299">
        <f t="shared" si="138"/>
        <v>0.0055000000000000005</v>
      </c>
      <c r="S630" s="250">
        <v>1.5</v>
      </c>
      <c r="AA630" s="316">
        <f t="shared" si="126"/>
      </c>
      <c r="AB630" s="316">
        <f t="shared" si="127"/>
      </c>
      <c r="AC630" s="316">
        <f t="shared" si="128"/>
      </c>
      <c r="AD630" s="316">
        <f t="shared" si="129"/>
      </c>
      <c r="AE630" s="316">
        <f t="shared" si="130"/>
      </c>
      <c r="AG630" s="316">
        <f t="shared" si="131"/>
      </c>
      <c r="AH630" s="316">
        <f t="shared" si="132"/>
      </c>
      <c r="AI630" s="316">
        <f t="shared" si="133"/>
      </c>
      <c r="AJ630" s="316">
        <f t="shared" si="134"/>
      </c>
      <c r="AK630" s="316">
        <f t="shared" si="135"/>
      </c>
    </row>
    <row r="631" spans="16:37" ht="15">
      <c r="P631" s="312">
        <f t="shared" si="136"/>
        <v>3.1482215356247876</v>
      </c>
      <c r="Q631" s="247">
        <v>626</v>
      </c>
      <c r="R631" s="299">
        <f t="shared" si="138"/>
        <v>0.0055000000000000005</v>
      </c>
      <c r="S631" s="250">
        <v>1.5</v>
      </c>
      <c r="AA631" s="316">
        <f t="shared" si="126"/>
      </c>
      <c r="AB631" s="316">
        <f t="shared" si="127"/>
      </c>
      <c r="AC631" s="316">
        <f t="shared" si="128"/>
      </c>
      <c r="AD631" s="316">
        <f t="shared" si="129"/>
      </c>
      <c r="AE631" s="316">
        <f t="shared" si="130"/>
      </c>
      <c r="AG631" s="316">
        <f t="shared" si="131"/>
      </c>
      <c r="AH631" s="316">
        <f t="shared" si="132"/>
      </c>
      <c r="AI631" s="316">
        <f t="shared" si="133"/>
      </c>
      <c r="AJ631" s="316">
        <f t="shared" si="134"/>
      </c>
      <c r="AK631" s="316">
        <f t="shared" si="135"/>
      </c>
    </row>
    <row r="632" spans="16:37" ht="15">
      <c r="P632" s="312">
        <f t="shared" si="136"/>
        <v>3.159765014588745</v>
      </c>
      <c r="Q632" s="247">
        <v>627</v>
      </c>
      <c r="R632" s="299">
        <f t="shared" si="138"/>
        <v>0.0055000000000000005</v>
      </c>
      <c r="S632" s="250">
        <v>1.5</v>
      </c>
      <c r="AA632" s="316">
        <f t="shared" si="126"/>
      </c>
      <c r="AB632" s="316">
        <f t="shared" si="127"/>
      </c>
      <c r="AC632" s="316">
        <f t="shared" si="128"/>
      </c>
      <c r="AD632" s="316">
        <f t="shared" si="129"/>
      </c>
      <c r="AE632" s="316">
        <f t="shared" si="130"/>
      </c>
      <c r="AG632" s="316">
        <f t="shared" si="131"/>
      </c>
      <c r="AH632" s="316">
        <f t="shared" si="132"/>
      </c>
      <c r="AI632" s="316">
        <f t="shared" si="133"/>
      </c>
      <c r="AJ632" s="316">
        <f t="shared" si="134"/>
      </c>
      <c r="AK632" s="316">
        <f t="shared" si="135"/>
      </c>
    </row>
    <row r="633" spans="16:37" ht="15">
      <c r="P633" s="312">
        <f t="shared" si="136"/>
        <v>3.171350819642237</v>
      </c>
      <c r="Q633" s="247">
        <v>628</v>
      </c>
      <c r="R633" s="299">
        <f t="shared" si="138"/>
        <v>0.0055000000000000005</v>
      </c>
      <c r="S633" s="250">
        <v>1.5</v>
      </c>
      <c r="AA633" s="316">
        <f t="shared" si="126"/>
      </c>
      <c r="AB633" s="316">
        <f t="shared" si="127"/>
      </c>
      <c r="AC633" s="316">
        <f t="shared" si="128"/>
      </c>
      <c r="AD633" s="316">
        <f t="shared" si="129"/>
      </c>
      <c r="AE633" s="316">
        <f t="shared" si="130"/>
      </c>
      <c r="AG633" s="316">
        <f t="shared" si="131"/>
      </c>
      <c r="AH633" s="316">
        <f t="shared" si="132"/>
      </c>
      <c r="AI633" s="316">
        <f t="shared" si="133"/>
      </c>
      <c r="AJ633" s="316">
        <f t="shared" si="134"/>
      </c>
      <c r="AK633" s="316">
        <f t="shared" si="135"/>
      </c>
    </row>
    <row r="634" spans="16:37" ht="15">
      <c r="P634" s="312">
        <f t="shared" si="136"/>
        <v>3.1829791059809254</v>
      </c>
      <c r="Q634" s="247">
        <v>629</v>
      </c>
      <c r="R634" s="299">
        <f t="shared" si="138"/>
        <v>0.0055000000000000005</v>
      </c>
      <c r="S634" s="250">
        <v>1.5</v>
      </c>
      <c r="AA634" s="316">
        <f t="shared" si="126"/>
      </c>
      <c r="AB634" s="316">
        <f t="shared" si="127"/>
      </c>
      <c r="AC634" s="316">
        <f t="shared" si="128"/>
      </c>
      <c r="AD634" s="316">
        <f t="shared" si="129"/>
      </c>
      <c r="AE634" s="316">
        <f t="shared" si="130"/>
      </c>
      <c r="AG634" s="316">
        <f t="shared" si="131"/>
      </c>
      <c r="AH634" s="316">
        <f t="shared" si="132"/>
      </c>
      <c r="AI634" s="316">
        <f t="shared" si="133"/>
      </c>
      <c r="AJ634" s="316">
        <f t="shared" si="134"/>
      </c>
      <c r="AK634" s="316">
        <f t="shared" si="135"/>
      </c>
    </row>
    <row r="635" spans="16:37" ht="15">
      <c r="P635" s="312">
        <f t="shared" si="136"/>
        <v>3.194650029369522</v>
      </c>
      <c r="Q635" s="247">
        <v>630</v>
      </c>
      <c r="R635" s="299">
        <f t="shared" si="138"/>
        <v>0.0055000000000000005</v>
      </c>
      <c r="S635" s="250">
        <v>1.5</v>
      </c>
      <c r="AA635" s="316">
        <f t="shared" si="126"/>
      </c>
      <c r="AB635" s="316">
        <f t="shared" si="127"/>
      </c>
      <c r="AC635" s="316">
        <f t="shared" si="128"/>
      </c>
      <c r="AD635" s="316">
        <f t="shared" si="129"/>
      </c>
      <c r="AE635" s="316">
        <f t="shared" si="130"/>
      </c>
      <c r="AG635" s="316">
        <f t="shared" si="131"/>
      </c>
      <c r="AH635" s="316">
        <f t="shared" si="132"/>
      </c>
      <c r="AI635" s="316">
        <f t="shared" si="133"/>
      </c>
      <c r="AJ635" s="316">
        <f t="shared" si="134"/>
      </c>
      <c r="AK635" s="316">
        <f t="shared" si="135"/>
      </c>
    </row>
    <row r="636" spans="16:37" ht="15">
      <c r="P636" s="312">
        <f t="shared" si="136"/>
        <v>3.206363746143877</v>
      </c>
      <c r="Q636" s="247">
        <v>631</v>
      </c>
      <c r="R636" s="299">
        <f t="shared" si="138"/>
        <v>0.0055000000000000005</v>
      </c>
      <c r="S636" s="250">
        <v>1.5</v>
      </c>
      <c r="AA636" s="316">
        <f t="shared" si="126"/>
      </c>
      <c r="AB636" s="316">
        <f t="shared" si="127"/>
      </c>
      <c r="AC636" s="316">
        <f t="shared" si="128"/>
      </c>
      <c r="AD636" s="316">
        <f t="shared" si="129"/>
      </c>
      <c r="AE636" s="316">
        <f t="shared" si="130"/>
      </c>
      <c r="AG636" s="316">
        <f t="shared" si="131"/>
      </c>
      <c r="AH636" s="316">
        <f t="shared" si="132"/>
      </c>
      <c r="AI636" s="316">
        <f t="shared" si="133"/>
      </c>
      <c r="AJ636" s="316">
        <f t="shared" si="134"/>
      </c>
      <c r="AK636" s="316">
        <f t="shared" si="135"/>
      </c>
    </row>
    <row r="637" spans="16:37" ht="15">
      <c r="P637" s="312">
        <f t="shared" si="136"/>
        <v>3.218120413213071</v>
      </c>
      <c r="Q637" s="247">
        <v>632</v>
      </c>
      <c r="R637" s="299">
        <f t="shared" si="138"/>
        <v>0.0055000000000000005</v>
      </c>
      <c r="S637" s="250">
        <v>1.5</v>
      </c>
      <c r="AA637" s="316">
        <f t="shared" si="126"/>
      </c>
      <c r="AB637" s="316">
        <f t="shared" si="127"/>
      </c>
      <c r="AC637" s="316">
        <f t="shared" si="128"/>
      </c>
      <c r="AD637" s="316">
        <f t="shared" si="129"/>
      </c>
      <c r="AE637" s="316">
        <f t="shared" si="130"/>
      </c>
      <c r="AG637" s="316">
        <f t="shared" si="131"/>
      </c>
      <c r="AH637" s="316">
        <f t="shared" si="132"/>
      </c>
      <c r="AI637" s="316">
        <f t="shared" si="133"/>
      </c>
      <c r="AJ637" s="316">
        <f t="shared" si="134"/>
      </c>
      <c r="AK637" s="316">
        <f t="shared" si="135"/>
      </c>
    </row>
    <row r="638" spans="16:37" ht="15">
      <c r="P638" s="312">
        <f t="shared" si="136"/>
        <v>3.229920188061519</v>
      </c>
      <c r="Q638" s="247">
        <v>633</v>
      </c>
      <c r="R638" s="299">
        <f t="shared" si="138"/>
        <v>0.0055000000000000005</v>
      </c>
      <c r="S638" s="250">
        <v>1.5</v>
      </c>
      <c r="AA638" s="316">
        <f t="shared" si="126"/>
      </c>
      <c r="AB638" s="316">
        <f t="shared" si="127"/>
      </c>
      <c r="AC638" s="316">
        <f t="shared" si="128"/>
      </c>
      <c r="AD638" s="316">
        <f t="shared" si="129"/>
      </c>
      <c r="AE638" s="316">
        <f t="shared" si="130"/>
      </c>
      <c r="AG638" s="316">
        <f t="shared" si="131"/>
      </c>
      <c r="AH638" s="316">
        <f t="shared" si="132"/>
      </c>
      <c r="AI638" s="316">
        <f t="shared" si="133"/>
      </c>
      <c r="AJ638" s="316">
        <f t="shared" si="134"/>
      </c>
      <c r="AK638" s="316">
        <f t="shared" si="135"/>
      </c>
    </row>
    <row r="639" spans="16:37" ht="15">
      <c r="P639" s="312">
        <f t="shared" si="136"/>
        <v>3.2417632287510783</v>
      </c>
      <c r="Q639" s="247">
        <v>634</v>
      </c>
      <c r="R639" s="299">
        <f t="shared" si="138"/>
        <v>0.0055000000000000005</v>
      </c>
      <c r="S639" s="250">
        <v>1.5</v>
      </c>
      <c r="AA639" s="316">
        <f t="shared" si="126"/>
      </c>
      <c r="AB639" s="316">
        <f t="shared" si="127"/>
      </c>
      <c r="AC639" s="316">
        <f t="shared" si="128"/>
      </c>
      <c r="AD639" s="316">
        <f t="shared" si="129"/>
      </c>
      <c r="AE639" s="316">
        <f t="shared" si="130"/>
      </c>
      <c r="AG639" s="316">
        <f t="shared" si="131"/>
      </c>
      <c r="AH639" s="316">
        <f t="shared" si="132"/>
      </c>
      <c r="AI639" s="316">
        <f t="shared" si="133"/>
      </c>
      <c r="AJ639" s="316">
        <f t="shared" si="134"/>
      </c>
      <c r="AK639" s="316">
        <f t="shared" si="135"/>
      </c>
    </row>
    <row r="640" spans="16:37" ht="15">
      <c r="P640" s="312">
        <f t="shared" si="136"/>
        <v>3.2536496939231654</v>
      </c>
      <c r="Q640" s="247">
        <v>635</v>
      </c>
      <c r="R640" s="299">
        <f t="shared" si="138"/>
        <v>0.0055000000000000005</v>
      </c>
      <c r="S640" s="250">
        <v>1.5</v>
      </c>
      <c r="AA640" s="316">
        <f t="shared" si="126"/>
      </c>
      <c r="AB640" s="316">
        <f t="shared" si="127"/>
      </c>
      <c r="AC640" s="316">
        <f t="shared" si="128"/>
      </c>
      <c r="AD640" s="316">
        <f t="shared" si="129"/>
      </c>
      <c r="AE640" s="316">
        <f t="shared" si="130"/>
      </c>
      <c r="AG640" s="316">
        <f t="shared" si="131"/>
      </c>
      <c r="AH640" s="316">
        <f t="shared" si="132"/>
      </c>
      <c r="AI640" s="316">
        <f t="shared" si="133"/>
      </c>
      <c r="AJ640" s="316">
        <f t="shared" si="134"/>
      </c>
      <c r="AK640" s="316">
        <f t="shared" si="135"/>
      </c>
    </row>
    <row r="641" spans="16:37" ht="15">
      <c r="P641" s="312">
        <f t="shared" si="136"/>
        <v>3.2655797428008837</v>
      </c>
      <c r="Q641" s="247">
        <v>636</v>
      </c>
      <c r="R641" s="299">
        <f t="shared" si="138"/>
        <v>0.0055000000000000005</v>
      </c>
      <c r="S641" s="250">
        <v>1.5</v>
      </c>
      <c r="AA641" s="316">
        <f t="shared" si="126"/>
      </c>
      <c r="AB641" s="316">
        <f t="shared" si="127"/>
      </c>
      <c r="AC641" s="316">
        <f t="shared" si="128"/>
      </c>
      <c r="AD641" s="316">
        <f t="shared" si="129"/>
      </c>
      <c r="AE641" s="316">
        <f t="shared" si="130"/>
      </c>
      <c r="AG641" s="316">
        <f t="shared" si="131"/>
      </c>
      <c r="AH641" s="316">
        <f t="shared" si="132"/>
      </c>
      <c r="AI641" s="316">
        <f t="shared" si="133"/>
      </c>
      <c r="AJ641" s="316">
        <f t="shared" si="134"/>
      </c>
      <c r="AK641" s="316">
        <f t="shared" si="135"/>
      </c>
    </row>
    <row r="642" spans="16:37" ht="15">
      <c r="P642" s="312">
        <f t="shared" si="136"/>
        <v>3.2775535351911538</v>
      </c>
      <c r="Q642" s="247">
        <v>637</v>
      </c>
      <c r="R642" s="299">
        <f t="shared" si="138"/>
        <v>0.0055000000000000005</v>
      </c>
      <c r="S642" s="250">
        <v>1.5</v>
      </c>
      <c r="AA642" s="316">
        <f t="shared" si="126"/>
      </c>
      <c r="AB642" s="316">
        <f t="shared" si="127"/>
      </c>
      <c r="AC642" s="316">
        <f t="shared" si="128"/>
      </c>
      <c r="AD642" s="316">
        <f t="shared" si="129"/>
      </c>
      <c r="AE642" s="316">
        <f t="shared" si="130"/>
      </c>
      <c r="AG642" s="316">
        <f t="shared" si="131"/>
      </c>
      <c r="AH642" s="316">
        <f t="shared" si="132"/>
      </c>
      <c r="AI642" s="316">
        <f t="shared" si="133"/>
      </c>
      <c r="AJ642" s="316">
        <f t="shared" si="134"/>
      </c>
      <c r="AK642" s="316">
        <f t="shared" si="135"/>
      </c>
    </row>
    <row r="643" spans="16:37" ht="15">
      <c r="P643" s="312">
        <f t="shared" si="136"/>
        <v>3.2895712314868546</v>
      </c>
      <c r="Q643" s="247">
        <v>638</v>
      </c>
      <c r="R643" s="299">
        <f t="shared" si="138"/>
        <v>0.0055000000000000005</v>
      </c>
      <c r="S643" s="250">
        <v>1.5</v>
      </c>
      <c r="AA643" s="316">
        <f t="shared" si="126"/>
      </c>
      <c r="AB643" s="316">
        <f t="shared" si="127"/>
      </c>
      <c r="AC643" s="316">
        <f t="shared" si="128"/>
      </c>
      <c r="AD643" s="316">
        <f t="shared" si="129"/>
      </c>
      <c r="AE643" s="316">
        <f t="shared" si="130"/>
      </c>
      <c r="AG643" s="316">
        <f t="shared" si="131"/>
      </c>
      <c r="AH643" s="316">
        <f t="shared" si="132"/>
      </c>
      <c r="AI643" s="316">
        <f t="shared" si="133"/>
      </c>
      <c r="AJ643" s="316">
        <f t="shared" si="134"/>
      </c>
      <c r="AK643" s="316">
        <f t="shared" si="135"/>
      </c>
    </row>
    <row r="644" spans="16:37" ht="15">
      <c r="P644" s="312">
        <f t="shared" si="136"/>
        <v>3.301632992668973</v>
      </c>
      <c r="Q644" s="247">
        <v>639</v>
      </c>
      <c r="R644" s="299">
        <f t="shared" si="138"/>
        <v>0.0055000000000000005</v>
      </c>
      <c r="S644" s="250">
        <v>1.5</v>
      </c>
      <c r="AA644" s="316">
        <f t="shared" si="126"/>
      </c>
      <c r="AB644" s="316">
        <f t="shared" si="127"/>
      </c>
      <c r="AC644" s="316">
        <f t="shared" si="128"/>
      </c>
      <c r="AD644" s="316">
        <f t="shared" si="129"/>
      </c>
      <c r="AE644" s="316">
        <f t="shared" si="130"/>
      </c>
      <c r="AG644" s="316">
        <f t="shared" si="131"/>
      </c>
      <c r="AH644" s="316">
        <f t="shared" si="132"/>
      </c>
      <c r="AI644" s="316">
        <f t="shared" si="133"/>
      </c>
      <c r="AJ644" s="316">
        <f t="shared" si="134"/>
      </c>
      <c r="AK644" s="316">
        <f t="shared" si="135"/>
      </c>
    </row>
    <row r="645" spans="16:37" ht="15">
      <c r="P645" s="312">
        <f t="shared" si="136"/>
        <v>3.3137389803087594</v>
      </c>
      <c r="Q645" s="247">
        <v>640</v>
      </c>
      <c r="R645" s="299">
        <f t="shared" si="138"/>
        <v>0.0055000000000000005</v>
      </c>
      <c r="S645" s="250">
        <v>1.5</v>
      </c>
      <c r="AA645" s="316">
        <f t="shared" si="126"/>
      </c>
      <c r="AB645" s="316">
        <f t="shared" si="127"/>
      </c>
      <c r="AC645" s="316">
        <f t="shared" si="128"/>
      </c>
      <c r="AD645" s="316">
        <f t="shared" si="129"/>
      </c>
      <c r="AE645" s="316">
        <f t="shared" si="130"/>
      </c>
      <c r="AG645" s="316">
        <f t="shared" si="131"/>
      </c>
      <c r="AH645" s="316">
        <f t="shared" si="132"/>
      </c>
      <c r="AI645" s="316">
        <f t="shared" si="133"/>
      </c>
      <c r="AJ645" s="316">
        <f t="shared" si="134"/>
      </c>
      <c r="AK645" s="316">
        <f t="shared" si="135"/>
      </c>
    </row>
    <row r="646" spans="16:37" ht="15">
      <c r="P646" s="312">
        <f t="shared" si="136"/>
        <v>3.3258893565698915</v>
      </c>
      <c r="Q646" s="247">
        <v>641</v>
      </c>
      <c r="R646" s="299">
        <f t="shared" si="138"/>
        <v>0.0055000000000000005</v>
      </c>
      <c r="S646" s="250">
        <v>1.5</v>
      </c>
      <c r="AA646" s="316">
        <f aca="true" t="shared" si="139" ref="AA646:AA697">IF(P646&gt;=$F$17,IF(P646&lt;$F$18,R646,""),"")</f>
      </c>
      <c r="AB646" s="316">
        <f aca="true" t="shared" si="140" ref="AB646:AB697">IF(P646&gt;=$G$17,IF(P646&lt;$G$18,R646,""),"")</f>
      </c>
      <c r="AC646" s="316">
        <f aca="true" t="shared" si="141" ref="AC646:AC697">IF(P646&gt;=$H$17,IF(P646&lt;$H$18,R646,""),"")</f>
      </c>
      <c r="AD646" s="316">
        <f aca="true" t="shared" si="142" ref="AD646:AD697">IF(P646&gt;=$I$17,IF(P646&lt;$I$18,R646,""),"")</f>
      </c>
      <c r="AE646" s="316">
        <f aca="true" t="shared" si="143" ref="AE646:AE697">IF(P646&gt;=$J$17,IF(P646&lt;$J$18,R646,""),"")</f>
      </c>
      <c r="AG646" s="316">
        <f t="shared" si="131"/>
      </c>
      <c r="AH646" s="316">
        <f t="shared" si="132"/>
      </c>
      <c r="AI646" s="316">
        <f t="shared" si="133"/>
      </c>
      <c r="AJ646" s="316">
        <f t="shared" si="134"/>
      </c>
      <c r="AK646" s="316">
        <f t="shared" si="135"/>
      </c>
    </row>
    <row r="647" spans="16:37" ht="15">
      <c r="P647" s="312">
        <f t="shared" si="136"/>
        <v>3.3380842842106477</v>
      </c>
      <c r="Q647" s="247">
        <v>642</v>
      </c>
      <c r="R647" s="299">
        <f t="shared" si="138"/>
        <v>0.0055000000000000005</v>
      </c>
      <c r="S647" s="250">
        <v>1.5</v>
      </c>
      <c r="AA647" s="316">
        <f t="shared" si="139"/>
      </c>
      <c r="AB647" s="316">
        <f t="shared" si="140"/>
      </c>
      <c r="AC647" s="316">
        <f t="shared" si="141"/>
      </c>
      <c r="AD647" s="316">
        <f t="shared" si="142"/>
      </c>
      <c r="AE647" s="316">
        <f t="shared" si="143"/>
      </c>
      <c r="AG647" s="316">
        <f aca="true" t="shared" si="144" ref="AG647:AG697">IF(P647&gt;=$F$17,IF(P647&lt;$F$18,S647,""),"")</f>
      </c>
      <c r="AH647" s="316">
        <f aca="true" t="shared" si="145" ref="AH647:AH697">IF(P647&gt;=$G$17,IF(P647&lt;$G$18,S647,""),"")</f>
      </c>
      <c r="AI647" s="316">
        <f aca="true" t="shared" si="146" ref="AI647:AI697">IF(P647&gt;=$H$17,IF(P647&lt;$H$18,S647,""),"")</f>
      </c>
      <c r="AJ647" s="316">
        <f aca="true" t="shared" si="147" ref="AJ647:AJ697">IF(P647&gt;=$I$17,IF(P647&lt;$I$18,S647,""),"")</f>
      </c>
      <c r="AK647" s="316">
        <f aca="true" t="shared" si="148" ref="AK647:AK697">IF(P647&gt;=$J$17,IF(P647&lt;$J$18,S647,""),"")</f>
      </c>
    </row>
    <row r="648" spans="16:37" ht="15">
      <c r="P648" s="312">
        <f t="shared" si="136"/>
        <v>3.350323926586087</v>
      </c>
      <c r="Q648" s="247">
        <v>643</v>
      </c>
      <c r="R648" s="299">
        <f t="shared" si="138"/>
        <v>0.0055000000000000005</v>
      </c>
      <c r="S648" s="250">
        <v>1.5</v>
      </c>
      <c r="AA648" s="316">
        <f t="shared" si="139"/>
      </c>
      <c r="AB648" s="316">
        <f t="shared" si="140"/>
      </c>
      <c r="AC648" s="316">
        <f t="shared" si="141"/>
      </c>
      <c r="AD648" s="316">
        <f t="shared" si="142"/>
      </c>
      <c r="AE648" s="316">
        <f t="shared" si="143"/>
      </c>
      <c r="AG648" s="316">
        <f t="shared" si="144"/>
      </c>
      <c r="AH648" s="316">
        <f t="shared" si="145"/>
      </c>
      <c r="AI648" s="316">
        <f t="shared" si="146"/>
      </c>
      <c r="AJ648" s="316">
        <f t="shared" si="147"/>
      </c>
      <c r="AK648" s="316">
        <f t="shared" si="148"/>
      </c>
    </row>
    <row r="649" spans="16:37" ht="15">
      <c r="P649" s="312">
        <f t="shared" si="136"/>
        <v>3.362608447650236</v>
      </c>
      <c r="Q649" s="247">
        <v>644</v>
      </c>
      <c r="R649" s="299">
        <f t="shared" si="138"/>
        <v>0.0055000000000000005</v>
      </c>
      <c r="S649" s="250">
        <v>1.5</v>
      </c>
      <c r="AA649" s="316">
        <f t="shared" si="139"/>
      </c>
      <c r="AB649" s="316">
        <f t="shared" si="140"/>
      </c>
      <c r="AC649" s="316">
        <f t="shared" si="141"/>
      </c>
      <c r="AD649" s="316">
        <f t="shared" si="142"/>
      </c>
      <c r="AE649" s="316">
        <f t="shared" si="143"/>
      </c>
      <c r="AG649" s="316">
        <f t="shared" si="144"/>
      </c>
      <c r="AH649" s="316">
        <f t="shared" si="145"/>
      </c>
      <c r="AI649" s="316">
        <f t="shared" si="146"/>
      </c>
      <c r="AJ649" s="316">
        <f t="shared" si="147"/>
      </c>
      <c r="AK649" s="316">
        <f t="shared" si="148"/>
      </c>
    </row>
    <row r="650" spans="16:37" ht="15">
      <c r="P650" s="312">
        <f t="shared" si="136"/>
        <v>3.3749380119582866</v>
      </c>
      <c r="Q650" s="247">
        <v>645</v>
      </c>
      <c r="R650" s="299">
        <f t="shared" si="138"/>
        <v>0.0055000000000000005</v>
      </c>
      <c r="S650" s="250">
        <v>1.5</v>
      </c>
      <c r="AA650" s="316">
        <f t="shared" si="139"/>
      </c>
      <c r="AB650" s="316">
        <f t="shared" si="140"/>
      </c>
      <c r="AC650" s="316">
        <f t="shared" si="141"/>
      </c>
      <c r="AD650" s="316">
        <f t="shared" si="142"/>
      </c>
      <c r="AE650" s="316">
        <f t="shared" si="143"/>
      </c>
      <c r="AG650" s="316">
        <f t="shared" si="144"/>
      </c>
      <c r="AH650" s="316">
        <f t="shared" si="145"/>
      </c>
      <c r="AI650" s="316">
        <f t="shared" si="146"/>
      </c>
      <c r="AJ650" s="316">
        <f t="shared" si="147"/>
      </c>
      <c r="AK650" s="316">
        <f t="shared" si="148"/>
      </c>
    </row>
    <row r="651" spans="16:37" ht="15">
      <c r="P651" s="312">
        <f t="shared" si="136"/>
        <v>3.3873127846688003</v>
      </c>
      <c r="Q651" s="247">
        <v>646</v>
      </c>
      <c r="R651" s="299">
        <f t="shared" si="138"/>
        <v>0.0055000000000000005</v>
      </c>
      <c r="S651" s="250">
        <v>1.5</v>
      </c>
      <c r="AA651" s="316">
        <f t="shared" si="139"/>
      </c>
      <c r="AB651" s="316">
        <f t="shared" si="140"/>
      </c>
      <c r="AC651" s="316">
        <f t="shared" si="141"/>
      </c>
      <c r="AD651" s="316">
        <f t="shared" si="142"/>
      </c>
      <c r="AE651" s="316">
        <f t="shared" si="143"/>
      </c>
      <c r="AG651" s="316">
        <f t="shared" si="144"/>
      </c>
      <c r="AH651" s="316">
        <f t="shared" si="145"/>
      </c>
      <c r="AI651" s="316">
        <f t="shared" si="146"/>
      </c>
      <c r="AJ651" s="316">
        <f t="shared" si="147"/>
      </c>
      <c r="AK651" s="316">
        <f t="shared" si="148"/>
      </c>
    </row>
    <row r="652" spans="16:37" ht="15">
      <c r="P652" s="312">
        <f aca="true" t="shared" si="149" ref="P652:P697">P651+(P651*R651)/S651</f>
        <v>3.3997329315459193</v>
      </c>
      <c r="Q652" s="247">
        <v>647</v>
      </c>
      <c r="R652" s="299">
        <f t="shared" si="138"/>
        <v>0.0055000000000000005</v>
      </c>
      <c r="S652" s="250">
        <v>1.5</v>
      </c>
      <c r="AA652" s="316">
        <f t="shared" si="139"/>
      </c>
      <c r="AB652" s="316">
        <f t="shared" si="140"/>
      </c>
      <c r="AC652" s="316">
        <f t="shared" si="141"/>
      </c>
      <c r="AD652" s="316">
        <f t="shared" si="142"/>
      </c>
      <c r="AE652" s="316">
        <f t="shared" si="143"/>
      </c>
      <c r="AG652" s="316">
        <f t="shared" si="144"/>
      </c>
      <c r="AH652" s="316">
        <f t="shared" si="145"/>
      </c>
      <c r="AI652" s="316">
        <f t="shared" si="146"/>
      </c>
      <c r="AJ652" s="316">
        <f t="shared" si="147"/>
      </c>
      <c r="AK652" s="316">
        <f t="shared" si="148"/>
      </c>
    </row>
    <row r="653" spans="16:37" ht="15">
      <c r="P653" s="312">
        <f t="shared" si="149"/>
        <v>3.412198618961588</v>
      </c>
      <c r="Q653" s="247">
        <v>648</v>
      </c>
      <c r="R653" s="299">
        <f t="shared" si="138"/>
        <v>0.0055000000000000005</v>
      </c>
      <c r="S653" s="250">
        <v>1.5</v>
      </c>
      <c r="AA653" s="316">
        <f t="shared" si="139"/>
      </c>
      <c r="AB653" s="316">
        <f t="shared" si="140"/>
      </c>
      <c r="AC653" s="316">
        <f t="shared" si="141"/>
      </c>
      <c r="AD653" s="316">
        <f t="shared" si="142"/>
      </c>
      <c r="AE653" s="316">
        <f t="shared" si="143"/>
      </c>
      <c r="AG653" s="316">
        <f t="shared" si="144"/>
      </c>
      <c r="AH653" s="316">
        <f t="shared" si="145"/>
      </c>
      <c r="AI653" s="316">
        <f t="shared" si="146"/>
      </c>
      <c r="AJ653" s="316">
        <f t="shared" si="147"/>
      </c>
      <c r="AK653" s="316">
        <f t="shared" si="148"/>
      </c>
    </row>
    <row r="654" spans="16:37" ht="15">
      <c r="P654" s="312">
        <f t="shared" si="149"/>
        <v>3.4247100138977804</v>
      </c>
      <c r="Q654" s="247">
        <v>649</v>
      </c>
      <c r="R654" s="299">
        <f t="shared" si="138"/>
        <v>0.0055000000000000005</v>
      </c>
      <c r="S654" s="250">
        <v>1.5</v>
      </c>
      <c r="AA654" s="316">
        <f t="shared" si="139"/>
      </c>
      <c r="AB654" s="316">
        <f t="shared" si="140"/>
      </c>
      <c r="AC654" s="316">
        <f t="shared" si="141"/>
      </c>
      <c r="AD654" s="316">
        <f t="shared" si="142"/>
      </c>
      <c r="AE654" s="316">
        <f t="shared" si="143"/>
      </c>
      <c r="AG654" s="316">
        <f t="shared" si="144"/>
      </c>
      <c r="AH654" s="316">
        <f t="shared" si="145"/>
      </c>
      <c r="AI654" s="316">
        <f t="shared" si="146"/>
      </c>
      <c r="AJ654" s="316">
        <f t="shared" si="147"/>
      </c>
      <c r="AK654" s="316">
        <f t="shared" si="148"/>
      </c>
    </row>
    <row r="655" spans="16:37" ht="15">
      <c r="P655" s="312">
        <f t="shared" si="149"/>
        <v>3.437267283948739</v>
      </c>
      <c r="Q655" s="247">
        <v>650</v>
      </c>
      <c r="R655" s="299">
        <f t="shared" si="138"/>
        <v>0.0055000000000000005</v>
      </c>
      <c r="S655" s="250">
        <v>1.5</v>
      </c>
      <c r="AA655" s="316">
        <f t="shared" si="139"/>
      </c>
      <c r="AB655" s="316">
        <f t="shared" si="140"/>
      </c>
      <c r="AC655" s="316">
        <f t="shared" si="141"/>
      </c>
      <c r="AD655" s="316">
        <f t="shared" si="142"/>
      </c>
      <c r="AE655" s="316">
        <f t="shared" si="143"/>
      </c>
      <c r="AG655" s="316">
        <f t="shared" si="144"/>
      </c>
      <c r="AH655" s="316">
        <f t="shared" si="145"/>
      </c>
      <c r="AI655" s="316">
        <f t="shared" si="146"/>
      </c>
      <c r="AJ655" s="316">
        <f t="shared" si="147"/>
      </c>
      <c r="AK655" s="316">
        <f t="shared" si="148"/>
      </c>
    </row>
    <row r="656" spans="16:37" ht="15">
      <c r="P656" s="312">
        <f t="shared" si="149"/>
        <v>3.4498705973232178</v>
      </c>
      <c r="Q656" s="247">
        <v>651</v>
      </c>
      <c r="R656" s="299">
        <f t="shared" si="138"/>
        <v>0.0055000000000000005</v>
      </c>
      <c r="S656" s="250">
        <v>1.5</v>
      </c>
      <c r="AA656" s="316">
        <f t="shared" si="139"/>
      </c>
      <c r="AB656" s="316">
        <f t="shared" si="140"/>
      </c>
      <c r="AC656" s="316">
        <f t="shared" si="141"/>
      </c>
      <c r="AD656" s="316">
        <f t="shared" si="142"/>
      </c>
      <c r="AE656" s="316">
        <f t="shared" si="143"/>
      </c>
      <c r="AG656" s="316">
        <f t="shared" si="144"/>
      </c>
      <c r="AH656" s="316">
        <f t="shared" si="145"/>
      </c>
      <c r="AI656" s="316">
        <f t="shared" si="146"/>
      </c>
      <c r="AJ656" s="316">
        <f t="shared" si="147"/>
      </c>
      <c r="AK656" s="316">
        <f t="shared" si="148"/>
      </c>
    </row>
    <row r="657" spans="16:37" ht="15">
      <c r="P657" s="312">
        <f t="shared" si="149"/>
        <v>3.4625201228467364</v>
      </c>
      <c r="Q657" s="247">
        <v>652</v>
      </c>
      <c r="R657" s="299">
        <f t="shared" si="138"/>
        <v>0.0055000000000000005</v>
      </c>
      <c r="S657" s="250">
        <v>1.5</v>
      </c>
      <c r="AA657" s="316">
        <f t="shared" si="139"/>
      </c>
      <c r="AB657" s="316">
        <f t="shared" si="140"/>
      </c>
      <c r="AC657" s="316">
        <f t="shared" si="141"/>
      </c>
      <c r="AD657" s="316">
        <f t="shared" si="142"/>
      </c>
      <c r="AE657" s="316">
        <f t="shared" si="143"/>
      </c>
      <c r="AG657" s="316">
        <f t="shared" si="144"/>
      </c>
      <c r="AH657" s="316">
        <f t="shared" si="145"/>
      </c>
      <c r="AI657" s="316">
        <f t="shared" si="146"/>
      </c>
      <c r="AJ657" s="316">
        <f t="shared" si="147"/>
      </c>
      <c r="AK657" s="316">
        <f t="shared" si="148"/>
      </c>
    </row>
    <row r="658" spans="16:37" ht="15">
      <c r="P658" s="312">
        <f t="shared" si="149"/>
        <v>3.4752160299638413</v>
      </c>
      <c r="Q658" s="247">
        <v>653</v>
      </c>
      <c r="R658" s="299">
        <f t="shared" si="138"/>
        <v>0.0055000000000000005</v>
      </c>
      <c r="S658" s="250">
        <v>1.5</v>
      </c>
      <c r="AA658" s="316">
        <f t="shared" si="139"/>
      </c>
      <c r="AB658" s="316">
        <f t="shared" si="140"/>
      </c>
      <c r="AC658" s="316">
        <f t="shared" si="141"/>
      </c>
      <c r="AD658" s="316">
        <f t="shared" si="142"/>
      </c>
      <c r="AE658" s="316">
        <f t="shared" si="143"/>
      </c>
      <c r="AG658" s="316">
        <f t="shared" si="144"/>
      </c>
      <c r="AH658" s="316">
        <f t="shared" si="145"/>
      </c>
      <c r="AI658" s="316">
        <f t="shared" si="146"/>
      </c>
      <c r="AJ658" s="316">
        <f t="shared" si="147"/>
      </c>
      <c r="AK658" s="316">
        <f t="shared" si="148"/>
      </c>
    </row>
    <row r="659" spans="16:37" ht="15">
      <c r="P659" s="312">
        <f t="shared" si="149"/>
        <v>3.487958488740375</v>
      </c>
      <c r="Q659" s="247">
        <v>654</v>
      </c>
      <c r="R659" s="299">
        <f t="shared" si="138"/>
        <v>0.0055000000000000005</v>
      </c>
      <c r="S659" s="250">
        <v>1.5</v>
      </c>
      <c r="AA659" s="316">
        <f t="shared" si="139"/>
      </c>
      <c r="AB659" s="316">
        <f t="shared" si="140"/>
      </c>
      <c r="AC659" s="316">
        <f t="shared" si="141"/>
      </c>
      <c r="AD659" s="316">
        <f t="shared" si="142"/>
      </c>
      <c r="AE659" s="316">
        <f t="shared" si="143"/>
      </c>
      <c r="AG659" s="316">
        <f t="shared" si="144"/>
      </c>
      <c r="AH659" s="316">
        <f t="shared" si="145"/>
      </c>
      <c r="AI659" s="316">
        <f t="shared" si="146"/>
      </c>
      <c r="AJ659" s="316">
        <f t="shared" si="147"/>
      </c>
      <c r="AK659" s="316">
        <f t="shared" si="148"/>
      </c>
    </row>
    <row r="660" spans="16:37" ht="15">
      <c r="P660" s="312">
        <f t="shared" si="149"/>
        <v>3.5007476698657567</v>
      </c>
      <c r="Q660" s="247">
        <v>655</v>
      </c>
      <c r="R660" s="299">
        <f t="shared" si="138"/>
        <v>0.0055000000000000005</v>
      </c>
      <c r="S660" s="250">
        <v>1.5</v>
      </c>
      <c r="AA660" s="316">
        <f t="shared" si="139"/>
      </c>
      <c r="AB660" s="316">
        <f t="shared" si="140"/>
      </c>
      <c r="AC660" s="316">
        <f t="shared" si="141"/>
      </c>
      <c r="AD660" s="316">
        <f t="shared" si="142"/>
      </c>
      <c r="AE660" s="316">
        <f t="shared" si="143"/>
      </c>
      <c r="AG660" s="316">
        <f t="shared" si="144"/>
      </c>
      <c r="AH660" s="316">
        <f t="shared" si="145"/>
      </c>
      <c r="AI660" s="316">
        <f t="shared" si="146"/>
      </c>
      <c r="AJ660" s="316">
        <f t="shared" si="147"/>
      </c>
      <c r="AK660" s="316">
        <f t="shared" si="148"/>
      </c>
    </row>
    <row r="661" spans="16:37" ht="15">
      <c r="P661" s="312">
        <f t="shared" si="149"/>
        <v>3.5135837446552647</v>
      </c>
      <c r="Q661" s="247">
        <v>656</v>
      </c>
      <c r="R661" s="299">
        <f t="shared" si="138"/>
        <v>0.0055000000000000005</v>
      </c>
      <c r="S661" s="250">
        <v>1.5</v>
      </c>
      <c r="AA661" s="316">
        <f t="shared" si="139"/>
      </c>
      <c r="AB661" s="316">
        <f t="shared" si="140"/>
      </c>
      <c r="AC661" s="316">
        <f t="shared" si="141"/>
      </c>
      <c r="AD661" s="316">
        <f t="shared" si="142"/>
      </c>
      <c r="AE661" s="316">
        <f t="shared" si="143"/>
      </c>
      <c r="AG661" s="316">
        <f t="shared" si="144"/>
      </c>
      <c r="AH661" s="316">
        <f t="shared" si="145"/>
      </c>
      <c r="AI661" s="316">
        <f t="shared" si="146"/>
      </c>
      <c r="AJ661" s="316">
        <f t="shared" si="147"/>
      </c>
      <c r="AK661" s="316">
        <f t="shared" si="148"/>
      </c>
    </row>
    <row r="662" spans="16:37" ht="15">
      <c r="P662" s="312">
        <f t="shared" si="149"/>
        <v>3.526466885052334</v>
      </c>
      <c r="Q662" s="247">
        <v>657</v>
      </c>
      <c r="R662" s="299">
        <f t="shared" si="138"/>
        <v>0.0055000000000000005</v>
      </c>
      <c r="S662" s="250">
        <v>1.5</v>
      </c>
      <c r="AA662" s="316">
        <f t="shared" si="139"/>
      </c>
      <c r="AB662" s="316">
        <f t="shared" si="140"/>
      </c>
      <c r="AC662" s="316">
        <f t="shared" si="141"/>
      </c>
      <c r="AD662" s="316">
        <f t="shared" si="142"/>
      </c>
      <c r="AE662" s="316">
        <f t="shared" si="143"/>
      </c>
      <c r="AG662" s="316">
        <f t="shared" si="144"/>
      </c>
      <c r="AH662" s="316">
        <f t="shared" si="145"/>
      </c>
      <c r="AI662" s="316">
        <f t="shared" si="146"/>
      </c>
      <c r="AJ662" s="316">
        <f t="shared" si="147"/>
      </c>
      <c r="AK662" s="316">
        <f t="shared" si="148"/>
      </c>
    </row>
    <row r="663" spans="16:37" ht="15">
      <c r="P663" s="312">
        <f t="shared" si="149"/>
        <v>3.5393972636308595</v>
      </c>
      <c r="Q663" s="247">
        <v>658</v>
      </c>
      <c r="R663" s="299">
        <f t="shared" si="138"/>
        <v>0.0055000000000000005</v>
      </c>
      <c r="S663" s="250">
        <v>1.5</v>
      </c>
      <c r="AA663" s="316">
        <f t="shared" si="139"/>
      </c>
      <c r="AB663" s="316">
        <f t="shared" si="140"/>
      </c>
      <c r="AC663" s="316">
        <f t="shared" si="141"/>
      </c>
      <c r="AD663" s="316">
        <f t="shared" si="142"/>
      </c>
      <c r="AE663" s="316">
        <f t="shared" si="143"/>
      </c>
      <c r="AG663" s="316">
        <f t="shared" si="144"/>
      </c>
      <c r="AH663" s="316">
        <f t="shared" si="145"/>
      </c>
      <c r="AI663" s="316">
        <f t="shared" si="146"/>
      </c>
      <c r="AJ663" s="316">
        <f t="shared" si="147"/>
      </c>
      <c r="AK663" s="316">
        <f t="shared" si="148"/>
      </c>
    </row>
    <row r="664" spans="16:37" ht="15">
      <c r="P664" s="312">
        <f t="shared" si="149"/>
        <v>3.552375053597506</v>
      </c>
      <c r="Q664" s="247">
        <v>659</v>
      </c>
      <c r="R664" s="299">
        <f aca="true" t="shared" si="150" ref="R664:R697">0.0066/1.2</f>
        <v>0.0055000000000000005</v>
      </c>
      <c r="S664" s="250">
        <v>1.5</v>
      </c>
      <c r="AA664" s="316">
        <f t="shared" si="139"/>
      </c>
      <c r="AB664" s="316">
        <f t="shared" si="140"/>
      </c>
      <c r="AC664" s="316">
        <f t="shared" si="141"/>
      </c>
      <c r="AD664" s="316">
        <f t="shared" si="142"/>
      </c>
      <c r="AE664" s="316">
        <f t="shared" si="143"/>
      </c>
      <c r="AG664" s="316">
        <f t="shared" si="144"/>
      </c>
      <c r="AH664" s="316">
        <f t="shared" si="145"/>
      </c>
      <c r="AI664" s="316">
        <f t="shared" si="146"/>
      </c>
      <c r="AJ664" s="316">
        <f t="shared" si="147"/>
      </c>
      <c r="AK664" s="316">
        <f t="shared" si="148"/>
      </c>
    </row>
    <row r="665" spans="16:37" ht="15">
      <c r="P665" s="312">
        <f t="shared" si="149"/>
        <v>3.5654004287940304</v>
      </c>
      <c r="Q665" s="247">
        <v>660</v>
      </c>
      <c r="R665" s="299">
        <f t="shared" si="150"/>
        <v>0.0055000000000000005</v>
      </c>
      <c r="S665" s="250">
        <v>1.5</v>
      </c>
      <c r="AA665" s="316">
        <f t="shared" si="139"/>
      </c>
      <c r="AB665" s="316">
        <f t="shared" si="140"/>
      </c>
      <c r="AC665" s="316">
        <f t="shared" si="141"/>
      </c>
      <c r="AD665" s="316">
        <f t="shared" si="142"/>
      </c>
      <c r="AE665" s="316">
        <f t="shared" si="143"/>
      </c>
      <c r="AG665" s="316">
        <f t="shared" si="144"/>
      </c>
      <c r="AH665" s="316">
        <f t="shared" si="145"/>
      </c>
      <c r="AI665" s="316">
        <f t="shared" si="146"/>
      </c>
      <c r="AJ665" s="316">
        <f t="shared" si="147"/>
      </c>
      <c r="AK665" s="316">
        <f t="shared" si="148"/>
      </c>
    </row>
    <row r="666" spans="16:37" ht="15">
      <c r="P666" s="312">
        <f t="shared" si="149"/>
        <v>3.5784735636996086</v>
      </c>
      <c r="Q666" s="247">
        <v>661</v>
      </c>
      <c r="R666" s="299">
        <f t="shared" si="150"/>
        <v>0.0055000000000000005</v>
      </c>
      <c r="S666" s="250">
        <v>1.5</v>
      </c>
      <c r="AA666" s="316">
        <f t="shared" si="139"/>
      </c>
      <c r="AB666" s="316">
        <f t="shared" si="140"/>
      </c>
      <c r="AC666" s="316">
        <f t="shared" si="141"/>
      </c>
      <c r="AD666" s="316">
        <f t="shared" si="142"/>
      </c>
      <c r="AE666" s="316">
        <f t="shared" si="143"/>
      </c>
      <c r="AG666" s="316">
        <f t="shared" si="144"/>
      </c>
      <c r="AH666" s="316">
        <f t="shared" si="145"/>
      </c>
      <c r="AI666" s="316">
        <f t="shared" si="146"/>
      </c>
      <c r="AJ666" s="316">
        <f t="shared" si="147"/>
      </c>
      <c r="AK666" s="316">
        <f t="shared" si="148"/>
      </c>
    </row>
    <row r="667" spans="16:37" ht="15">
      <c r="P667" s="312">
        <f t="shared" si="149"/>
        <v>3.5915946334331736</v>
      </c>
      <c r="Q667" s="247">
        <v>662</v>
      </c>
      <c r="R667" s="299">
        <f t="shared" si="150"/>
        <v>0.0055000000000000005</v>
      </c>
      <c r="S667" s="250">
        <v>1.5</v>
      </c>
      <c r="AA667" s="316">
        <f t="shared" si="139"/>
      </c>
      <c r="AB667" s="316">
        <f t="shared" si="140"/>
      </c>
      <c r="AC667" s="316">
        <f t="shared" si="141"/>
      </c>
      <c r="AD667" s="316">
        <f t="shared" si="142"/>
      </c>
      <c r="AE667" s="316">
        <f t="shared" si="143"/>
      </c>
      <c r="AG667" s="316">
        <f t="shared" si="144"/>
      </c>
      <c r="AH667" s="316">
        <f t="shared" si="145"/>
      </c>
      <c r="AI667" s="316">
        <f t="shared" si="146"/>
      </c>
      <c r="AJ667" s="316">
        <f t="shared" si="147"/>
      </c>
      <c r="AK667" s="316">
        <f t="shared" si="148"/>
      </c>
    </row>
    <row r="668" spans="16:37" ht="15">
      <c r="P668" s="312">
        <f t="shared" si="149"/>
        <v>3.604763813755762</v>
      </c>
      <c r="Q668" s="247">
        <v>663</v>
      </c>
      <c r="R668" s="299">
        <f t="shared" si="150"/>
        <v>0.0055000000000000005</v>
      </c>
      <c r="S668" s="250">
        <v>1.5</v>
      </c>
      <c r="AA668" s="316">
        <f t="shared" si="139"/>
      </c>
      <c r="AB668" s="316">
        <f t="shared" si="140"/>
      </c>
      <c r="AC668" s="316">
        <f t="shared" si="141"/>
      </c>
      <c r="AD668" s="316">
        <f t="shared" si="142"/>
      </c>
      <c r="AE668" s="316">
        <f t="shared" si="143"/>
      </c>
      <c r="AG668" s="316">
        <f t="shared" si="144"/>
      </c>
      <c r="AH668" s="316">
        <f t="shared" si="145"/>
      </c>
      <c r="AI668" s="316">
        <f t="shared" si="146"/>
      </c>
      <c r="AJ668" s="316">
        <f t="shared" si="147"/>
      </c>
      <c r="AK668" s="316">
        <f t="shared" si="148"/>
      </c>
    </row>
    <row r="669" spans="16:37" ht="15">
      <c r="P669" s="312">
        <f t="shared" si="149"/>
        <v>3.6179812810728667</v>
      </c>
      <c r="Q669" s="247">
        <v>664</v>
      </c>
      <c r="R669" s="299">
        <f t="shared" si="150"/>
        <v>0.0055000000000000005</v>
      </c>
      <c r="S669" s="250">
        <v>1.5</v>
      </c>
      <c r="AA669" s="316">
        <f t="shared" si="139"/>
      </c>
      <c r="AB669" s="316">
        <f t="shared" si="140"/>
      </c>
      <c r="AC669" s="316">
        <f t="shared" si="141"/>
      </c>
      <c r="AD669" s="316">
        <f t="shared" si="142"/>
      </c>
      <c r="AE669" s="316">
        <f t="shared" si="143"/>
      </c>
      <c r="AG669" s="316">
        <f t="shared" si="144"/>
      </c>
      <c r="AH669" s="316">
        <f t="shared" si="145"/>
      </c>
      <c r="AI669" s="316">
        <f t="shared" si="146"/>
      </c>
      <c r="AJ669" s="316">
        <f t="shared" si="147"/>
      </c>
      <c r="AK669" s="316">
        <f t="shared" si="148"/>
      </c>
    </row>
    <row r="670" spans="16:37" ht="15">
      <c r="P670" s="312">
        <f t="shared" si="149"/>
        <v>3.6312472124368007</v>
      </c>
      <c r="Q670" s="247">
        <v>665</v>
      </c>
      <c r="R670" s="299">
        <f t="shared" si="150"/>
        <v>0.0055000000000000005</v>
      </c>
      <c r="S670" s="250">
        <v>1.5</v>
      </c>
      <c r="AA670" s="316">
        <f t="shared" si="139"/>
      </c>
      <c r="AB670" s="316">
        <f t="shared" si="140"/>
      </c>
      <c r="AC670" s="316">
        <f t="shared" si="141"/>
      </c>
      <c r="AD670" s="316">
        <f t="shared" si="142"/>
      </c>
      <c r="AE670" s="316">
        <f t="shared" si="143"/>
      </c>
      <c r="AG670" s="316">
        <f t="shared" si="144"/>
      </c>
      <c r="AH670" s="316">
        <f t="shared" si="145"/>
      </c>
      <c r="AI670" s="316">
        <f t="shared" si="146"/>
      </c>
      <c r="AJ670" s="316">
        <f t="shared" si="147"/>
      </c>
      <c r="AK670" s="316">
        <f t="shared" si="148"/>
      </c>
    </row>
    <row r="671" spans="16:37" ht="15">
      <c r="P671" s="312">
        <f t="shared" si="149"/>
        <v>3.644561785549069</v>
      </c>
      <c r="Q671" s="247">
        <v>666</v>
      </c>
      <c r="R671" s="299">
        <f t="shared" si="150"/>
        <v>0.0055000000000000005</v>
      </c>
      <c r="S671" s="250">
        <v>1.5</v>
      </c>
      <c r="AA671" s="316">
        <f t="shared" si="139"/>
      </c>
      <c r="AB671" s="316">
        <f t="shared" si="140"/>
      </c>
      <c r="AC671" s="316">
        <f t="shared" si="141"/>
      </c>
      <c r="AD671" s="316">
        <f t="shared" si="142"/>
      </c>
      <c r="AE671" s="316">
        <f t="shared" si="143"/>
      </c>
      <c r="AG671" s="316">
        <f t="shared" si="144"/>
      </c>
      <c r="AH671" s="316">
        <f t="shared" si="145"/>
      </c>
      <c r="AI671" s="316">
        <f t="shared" si="146"/>
      </c>
      <c r="AJ671" s="316">
        <f t="shared" si="147"/>
      </c>
      <c r="AK671" s="316">
        <f t="shared" si="148"/>
      </c>
    </row>
    <row r="672" spans="16:37" ht="15">
      <c r="P672" s="312">
        <f t="shared" si="149"/>
        <v>3.6579251787627487</v>
      </c>
      <c r="Q672" s="247">
        <v>667</v>
      </c>
      <c r="R672" s="299">
        <f t="shared" si="150"/>
        <v>0.0055000000000000005</v>
      </c>
      <c r="S672" s="250">
        <v>1.5</v>
      </c>
      <c r="AA672" s="316">
        <f t="shared" si="139"/>
      </c>
      <c r="AB672" s="316">
        <f t="shared" si="140"/>
      </c>
      <c r="AC672" s="316">
        <f t="shared" si="141"/>
      </c>
      <c r="AD672" s="316">
        <f t="shared" si="142"/>
      </c>
      <c r="AE672" s="316">
        <f t="shared" si="143"/>
      </c>
      <c r="AG672" s="316">
        <f t="shared" si="144"/>
      </c>
      <c r="AH672" s="316">
        <f t="shared" si="145"/>
      </c>
      <c r="AI672" s="316">
        <f t="shared" si="146"/>
      </c>
      <c r="AJ672" s="316">
        <f t="shared" si="147"/>
      </c>
      <c r="AK672" s="316">
        <f t="shared" si="148"/>
      </c>
    </row>
    <row r="673" spans="16:37" ht="15">
      <c r="P673" s="312">
        <f t="shared" si="149"/>
        <v>3.671337571084879</v>
      </c>
      <c r="Q673" s="247">
        <v>668</v>
      </c>
      <c r="R673" s="299">
        <f t="shared" si="150"/>
        <v>0.0055000000000000005</v>
      </c>
      <c r="S673" s="250">
        <v>1.5</v>
      </c>
      <c r="AA673" s="316">
        <f t="shared" si="139"/>
      </c>
      <c r="AB673" s="316">
        <f t="shared" si="140"/>
      </c>
      <c r="AC673" s="316">
        <f t="shared" si="141"/>
      </c>
      <c r="AD673" s="316">
        <f t="shared" si="142"/>
      </c>
      <c r="AE673" s="316">
        <f t="shared" si="143"/>
      </c>
      <c r="AG673" s="316">
        <f t="shared" si="144"/>
      </c>
      <c r="AH673" s="316">
        <f t="shared" si="145"/>
      </c>
      <c r="AI673" s="316">
        <f t="shared" si="146"/>
      </c>
      <c r="AJ673" s="316">
        <f t="shared" si="147"/>
      </c>
      <c r="AK673" s="316">
        <f t="shared" si="148"/>
      </c>
    </row>
    <row r="674" spans="16:37" ht="15">
      <c r="P674" s="312">
        <f t="shared" si="149"/>
        <v>3.6847991421788566</v>
      </c>
      <c r="Q674" s="247">
        <v>669</v>
      </c>
      <c r="R674" s="299">
        <f t="shared" si="150"/>
        <v>0.0055000000000000005</v>
      </c>
      <c r="S674" s="250">
        <v>1.5</v>
      </c>
      <c r="AA674" s="316">
        <f t="shared" si="139"/>
      </c>
      <c r="AB674" s="316">
        <f t="shared" si="140"/>
      </c>
      <c r="AC674" s="316">
        <f t="shared" si="141"/>
      </c>
      <c r="AD674" s="316">
        <f t="shared" si="142"/>
      </c>
      <c r="AE674" s="316">
        <f t="shared" si="143"/>
      </c>
      <c r="AG674" s="316">
        <f t="shared" si="144"/>
      </c>
      <c r="AH674" s="316">
        <f t="shared" si="145"/>
      </c>
      <c r="AI674" s="316">
        <f t="shared" si="146"/>
      </c>
      <c r="AJ674" s="316">
        <f t="shared" si="147"/>
      </c>
      <c r="AK674" s="316">
        <f t="shared" si="148"/>
      </c>
    </row>
    <row r="675" spans="16:37" ht="15">
      <c r="P675" s="312">
        <f t="shared" si="149"/>
        <v>3.6983100723668456</v>
      </c>
      <c r="Q675" s="247">
        <v>670</v>
      </c>
      <c r="R675" s="299">
        <f t="shared" si="150"/>
        <v>0.0055000000000000005</v>
      </c>
      <c r="S675" s="250">
        <v>1.5</v>
      </c>
      <c r="AA675" s="316">
        <f t="shared" si="139"/>
      </c>
      <c r="AB675" s="316">
        <f t="shared" si="140"/>
      </c>
      <c r="AC675" s="316">
        <f t="shared" si="141"/>
      </c>
      <c r="AD675" s="316">
        <f t="shared" si="142"/>
      </c>
      <c r="AE675" s="316">
        <f t="shared" si="143"/>
      </c>
      <c r="AG675" s="316">
        <f t="shared" si="144"/>
      </c>
      <c r="AH675" s="316">
        <f t="shared" si="145"/>
      </c>
      <c r="AI675" s="316">
        <f t="shared" si="146"/>
      </c>
      <c r="AJ675" s="316">
        <f t="shared" si="147"/>
      </c>
      <c r="AK675" s="316">
        <f t="shared" si="148"/>
      </c>
    </row>
    <row r="676" spans="16:37" ht="15">
      <c r="P676" s="312">
        <f t="shared" si="149"/>
        <v>3.7118705426321905</v>
      </c>
      <c r="Q676" s="247">
        <v>671</v>
      </c>
      <c r="R676" s="299">
        <f t="shared" si="150"/>
        <v>0.0055000000000000005</v>
      </c>
      <c r="S676" s="250">
        <v>1.5</v>
      </c>
      <c r="AA676" s="316">
        <f t="shared" si="139"/>
      </c>
      <c r="AB676" s="316">
        <f t="shared" si="140"/>
      </c>
      <c r="AC676" s="316">
        <f t="shared" si="141"/>
      </c>
      <c r="AD676" s="316">
        <f t="shared" si="142"/>
      </c>
      <c r="AE676" s="316">
        <f t="shared" si="143"/>
      </c>
      <c r="AG676" s="316">
        <f t="shared" si="144"/>
      </c>
      <c r="AH676" s="316">
        <f t="shared" si="145"/>
      </c>
      <c r="AI676" s="316">
        <f t="shared" si="146"/>
      </c>
      <c r="AJ676" s="316">
        <f t="shared" si="147"/>
      </c>
      <c r="AK676" s="316">
        <f t="shared" si="148"/>
      </c>
    </row>
    <row r="677" spans="16:37" ht="15">
      <c r="P677" s="312">
        <f t="shared" si="149"/>
        <v>3.7254807346218417</v>
      </c>
      <c r="Q677" s="247">
        <v>672</v>
      </c>
      <c r="R677" s="299">
        <f t="shared" si="150"/>
        <v>0.0055000000000000005</v>
      </c>
      <c r="S677" s="250">
        <v>1.5</v>
      </c>
      <c r="AA677" s="316">
        <f t="shared" si="139"/>
      </c>
      <c r="AB677" s="316">
        <f t="shared" si="140"/>
      </c>
      <c r="AC677" s="316">
        <f t="shared" si="141"/>
      </c>
      <c r="AD677" s="316">
        <f t="shared" si="142"/>
      </c>
      <c r="AE677" s="316">
        <f t="shared" si="143"/>
      </c>
      <c r="AG677" s="316">
        <f t="shared" si="144"/>
      </c>
      <c r="AH677" s="316">
        <f t="shared" si="145"/>
      </c>
      <c r="AI677" s="316">
        <f t="shared" si="146"/>
      </c>
      <c r="AJ677" s="316">
        <f t="shared" si="147"/>
      </c>
      <c r="AK677" s="316">
        <f t="shared" si="148"/>
      </c>
    </row>
    <row r="678" spans="16:37" ht="15">
      <c r="P678" s="312">
        <f t="shared" si="149"/>
        <v>3.7391408306487883</v>
      </c>
      <c r="Q678" s="247">
        <v>673</v>
      </c>
      <c r="R678" s="299">
        <f t="shared" si="150"/>
        <v>0.0055000000000000005</v>
      </c>
      <c r="S678" s="250">
        <v>1.5</v>
      </c>
      <c r="AA678" s="316">
        <f t="shared" si="139"/>
      </c>
      <c r="AB678" s="316">
        <f t="shared" si="140"/>
      </c>
      <c r="AC678" s="316">
        <f t="shared" si="141"/>
      </c>
      <c r="AD678" s="316">
        <f t="shared" si="142"/>
      </c>
      <c r="AE678" s="316">
        <f t="shared" si="143"/>
      </c>
      <c r="AG678" s="316">
        <f t="shared" si="144"/>
      </c>
      <c r="AH678" s="316">
        <f t="shared" si="145"/>
      </c>
      <c r="AI678" s="316">
        <f t="shared" si="146"/>
      </c>
      <c r="AJ678" s="316">
        <f t="shared" si="147"/>
      </c>
      <c r="AK678" s="316">
        <f t="shared" si="148"/>
      </c>
    </row>
    <row r="679" spans="16:37" ht="15">
      <c r="P679" s="312">
        <f t="shared" si="149"/>
        <v>3.7528510136945004</v>
      </c>
      <c r="Q679" s="247">
        <v>674</v>
      </c>
      <c r="R679" s="299">
        <f t="shared" si="150"/>
        <v>0.0055000000000000005</v>
      </c>
      <c r="S679" s="250">
        <v>1.5</v>
      </c>
      <c r="AA679" s="316">
        <f t="shared" si="139"/>
      </c>
      <c r="AB679" s="316">
        <f t="shared" si="140"/>
      </c>
      <c r="AC679" s="316">
        <f t="shared" si="141"/>
      </c>
      <c r="AD679" s="316">
        <f t="shared" si="142"/>
      </c>
      <c r="AE679" s="316">
        <f t="shared" si="143"/>
      </c>
      <c r="AG679" s="316">
        <f t="shared" si="144"/>
      </c>
      <c r="AH679" s="316">
        <f t="shared" si="145"/>
      </c>
      <c r="AI679" s="316">
        <f t="shared" si="146"/>
      </c>
      <c r="AJ679" s="316">
        <f t="shared" si="147"/>
      </c>
      <c r="AK679" s="316">
        <f t="shared" si="148"/>
      </c>
    </row>
    <row r="680" spans="16:37" ht="15">
      <c r="P680" s="312">
        <f t="shared" si="149"/>
        <v>3.76661146741138</v>
      </c>
      <c r="Q680" s="247">
        <v>675</v>
      </c>
      <c r="R680" s="299">
        <f t="shared" si="150"/>
        <v>0.0055000000000000005</v>
      </c>
      <c r="S680" s="250">
        <v>1.5</v>
      </c>
      <c r="AA680" s="316">
        <f t="shared" si="139"/>
      </c>
      <c r="AB680" s="316">
        <f t="shared" si="140"/>
      </c>
      <c r="AC680" s="316">
        <f t="shared" si="141"/>
      </c>
      <c r="AD680" s="316">
        <f t="shared" si="142"/>
      </c>
      <c r="AE680" s="316">
        <f t="shared" si="143"/>
      </c>
      <c r="AG680" s="316">
        <f t="shared" si="144"/>
      </c>
      <c r="AH680" s="316">
        <f t="shared" si="145"/>
      </c>
      <c r="AI680" s="316">
        <f t="shared" si="146"/>
      </c>
      <c r="AJ680" s="316">
        <f t="shared" si="147"/>
      </c>
      <c r="AK680" s="316">
        <f t="shared" si="148"/>
      </c>
    </row>
    <row r="681" spans="16:37" ht="15">
      <c r="P681" s="312">
        <f t="shared" si="149"/>
        <v>3.780422376125222</v>
      </c>
      <c r="Q681" s="247">
        <v>676</v>
      </c>
      <c r="R681" s="299">
        <f t="shared" si="150"/>
        <v>0.0055000000000000005</v>
      </c>
      <c r="S681" s="250">
        <v>1.5</v>
      </c>
      <c r="AA681" s="316">
        <f t="shared" si="139"/>
      </c>
      <c r="AB681" s="316">
        <f t="shared" si="140"/>
      </c>
      <c r="AC681" s="316">
        <f t="shared" si="141"/>
      </c>
      <c r="AD681" s="316">
        <f t="shared" si="142"/>
      </c>
      <c r="AE681" s="316">
        <f t="shared" si="143"/>
      </c>
      <c r="AG681" s="316">
        <f t="shared" si="144"/>
      </c>
      <c r="AH681" s="316">
        <f t="shared" si="145"/>
      </c>
      <c r="AI681" s="316">
        <f t="shared" si="146"/>
      </c>
      <c r="AJ681" s="316">
        <f t="shared" si="147"/>
      </c>
      <c r="AK681" s="316">
        <f t="shared" si="148"/>
      </c>
    </row>
    <row r="682" spans="16:37" ht="15">
      <c r="P682" s="312">
        <f t="shared" si="149"/>
        <v>3.794283924837681</v>
      </c>
      <c r="Q682" s="247">
        <v>677</v>
      </c>
      <c r="R682" s="299">
        <f t="shared" si="150"/>
        <v>0.0055000000000000005</v>
      </c>
      <c r="S682" s="250">
        <v>1.5</v>
      </c>
      <c r="AA682" s="316">
        <f t="shared" si="139"/>
      </c>
      <c r="AB682" s="316">
        <f t="shared" si="140"/>
      </c>
      <c r="AC682" s="316">
        <f t="shared" si="141"/>
      </c>
      <c r="AD682" s="316">
        <f t="shared" si="142"/>
      </c>
      <c r="AE682" s="316">
        <f t="shared" si="143"/>
      </c>
      <c r="AG682" s="316">
        <f t="shared" si="144"/>
      </c>
      <c r="AH682" s="316">
        <f t="shared" si="145"/>
      </c>
      <c r="AI682" s="316">
        <f t="shared" si="146"/>
      </c>
      <c r="AJ682" s="316">
        <f t="shared" si="147"/>
      </c>
      <c r="AK682" s="316">
        <f t="shared" si="148"/>
      </c>
    </row>
    <row r="683" spans="16:37" ht="15">
      <c r="P683" s="312">
        <f t="shared" si="149"/>
        <v>3.8081962992287526</v>
      </c>
      <c r="Q683" s="247">
        <v>678</v>
      </c>
      <c r="R683" s="299">
        <f t="shared" si="150"/>
        <v>0.0055000000000000005</v>
      </c>
      <c r="S683" s="250">
        <v>1.5</v>
      </c>
      <c r="AA683" s="316">
        <f t="shared" si="139"/>
      </c>
      <c r="AB683" s="316">
        <f t="shared" si="140"/>
      </c>
      <c r="AC683" s="316">
        <f t="shared" si="141"/>
      </c>
      <c r="AD683" s="316">
        <f t="shared" si="142"/>
      </c>
      <c r="AE683" s="316">
        <f t="shared" si="143"/>
      </c>
      <c r="AG683" s="316">
        <f t="shared" si="144"/>
      </c>
      <c r="AH683" s="316">
        <f t="shared" si="145"/>
      </c>
      <c r="AI683" s="316">
        <f t="shared" si="146"/>
      </c>
      <c r="AJ683" s="316">
        <f t="shared" si="147"/>
      </c>
      <c r="AK683" s="316">
        <f t="shared" si="148"/>
      </c>
    </row>
    <row r="684" spans="16:37" ht="15">
      <c r="P684" s="312">
        <f t="shared" si="149"/>
        <v>3.822159685659258</v>
      </c>
      <c r="Q684" s="247">
        <v>679</v>
      </c>
      <c r="R684" s="299">
        <f t="shared" si="150"/>
        <v>0.0055000000000000005</v>
      </c>
      <c r="S684" s="250">
        <v>1.5</v>
      </c>
      <c r="AA684" s="316">
        <f t="shared" si="139"/>
      </c>
      <c r="AB684" s="316">
        <f t="shared" si="140"/>
      </c>
      <c r="AC684" s="316">
        <f t="shared" si="141"/>
      </c>
      <c r="AD684" s="316">
        <f t="shared" si="142"/>
      </c>
      <c r="AE684" s="316">
        <f t="shared" si="143"/>
      </c>
      <c r="AG684" s="316">
        <f t="shared" si="144"/>
      </c>
      <c r="AH684" s="316">
        <f t="shared" si="145"/>
      </c>
      <c r="AI684" s="316">
        <f t="shared" si="146"/>
      </c>
      <c r="AJ684" s="316">
        <f t="shared" si="147"/>
      </c>
      <c r="AK684" s="316">
        <f t="shared" si="148"/>
      </c>
    </row>
    <row r="685" spans="16:37" ht="15">
      <c r="P685" s="312">
        <f t="shared" si="149"/>
        <v>3.8361742711733418</v>
      </c>
      <c r="Q685" s="247">
        <v>680</v>
      </c>
      <c r="R685" s="299">
        <f t="shared" si="150"/>
        <v>0.0055000000000000005</v>
      </c>
      <c r="S685" s="250">
        <v>1.5</v>
      </c>
      <c r="AA685" s="316">
        <f t="shared" si="139"/>
      </c>
      <c r="AB685" s="316">
        <f t="shared" si="140"/>
      </c>
      <c r="AC685" s="316">
        <f t="shared" si="141"/>
      </c>
      <c r="AD685" s="316">
        <f t="shared" si="142"/>
      </c>
      <c r="AE685" s="316">
        <f t="shared" si="143"/>
      </c>
      <c r="AG685" s="316">
        <f t="shared" si="144"/>
      </c>
      <c r="AH685" s="316">
        <f t="shared" si="145"/>
      </c>
      <c r="AI685" s="316">
        <f t="shared" si="146"/>
      </c>
      <c r="AJ685" s="316">
        <f t="shared" si="147"/>
      </c>
      <c r="AK685" s="316">
        <f t="shared" si="148"/>
      </c>
    </row>
    <row r="686" spans="16:37" ht="15">
      <c r="P686" s="312">
        <f t="shared" si="149"/>
        <v>3.8502402435009775</v>
      </c>
      <c r="Q686" s="247">
        <v>681</v>
      </c>
      <c r="R686" s="299">
        <f t="shared" si="150"/>
        <v>0.0055000000000000005</v>
      </c>
      <c r="S686" s="250">
        <v>1.5</v>
      </c>
      <c r="AA686" s="316">
        <f t="shared" si="139"/>
      </c>
      <c r="AB686" s="316">
        <f t="shared" si="140"/>
      </c>
      <c r="AC686" s="316">
        <f t="shared" si="141"/>
      </c>
      <c r="AD686" s="316">
        <f t="shared" si="142"/>
      </c>
      <c r="AE686" s="316">
        <f t="shared" si="143"/>
      </c>
      <c r="AG686" s="316">
        <f t="shared" si="144"/>
      </c>
      <c r="AH686" s="316">
        <f t="shared" si="145"/>
      </c>
      <c r="AI686" s="316">
        <f t="shared" si="146"/>
      </c>
      <c r="AJ686" s="316">
        <f t="shared" si="147"/>
      </c>
      <c r="AK686" s="316">
        <f t="shared" si="148"/>
      </c>
    </row>
    <row r="687" spans="16:37" ht="15">
      <c r="P687" s="312">
        <f t="shared" si="149"/>
        <v>3.864357791060481</v>
      </c>
      <c r="Q687" s="247">
        <v>682</v>
      </c>
      <c r="R687" s="299">
        <f t="shared" si="150"/>
        <v>0.0055000000000000005</v>
      </c>
      <c r="S687" s="250">
        <v>1.5</v>
      </c>
      <c r="AA687" s="316">
        <f t="shared" si="139"/>
      </c>
      <c r="AB687" s="316">
        <f t="shared" si="140"/>
      </c>
      <c r="AC687" s="316">
        <f t="shared" si="141"/>
      </c>
      <c r="AD687" s="316">
        <f t="shared" si="142"/>
      </c>
      <c r="AE687" s="316">
        <f t="shared" si="143"/>
      </c>
      <c r="AG687" s="316">
        <f t="shared" si="144"/>
      </c>
      <c r="AH687" s="316">
        <f t="shared" si="145"/>
      </c>
      <c r="AI687" s="316">
        <f t="shared" si="146"/>
      </c>
      <c r="AJ687" s="316">
        <f t="shared" si="147"/>
      </c>
      <c r="AK687" s="316">
        <f t="shared" si="148"/>
      </c>
    </row>
    <row r="688" spans="16:37" ht="15">
      <c r="P688" s="312">
        <f t="shared" si="149"/>
        <v>3.878527102961036</v>
      </c>
      <c r="Q688" s="247">
        <v>683</v>
      </c>
      <c r="R688" s="299">
        <f t="shared" si="150"/>
        <v>0.0055000000000000005</v>
      </c>
      <c r="S688" s="250">
        <v>1.5</v>
      </c>
      <c r="AA688" s="316">
        <f t="shared" si="139"/>
      </c>
      <c r="AB688" s="316">
        <f t="shared" si="140"/>
      </c>
      <c r="AC688" s="316">
        <f t="shared" si="141"/>
      </c>
      <c r="AD688" s="316">
        <f t="shared" si="142"/>
      </c>
      <c r="AE688" s="316">
        <f t="shared" si="143"/>
      </c>
      <c r="AG688" s="316">
        <f t="shared" si="144"/>
      </c>
      <c r="AH688" s="316">
        <f t="shared" si="145"/>
      </c>
      <c r="AI688" s="316">
        <f t="shared" si="146"/>
      </c>
      <c r="AJ688" s="316">
        <f t="shared" si="147"/>
      </c>
      <c r="AK688" s="316">
        <f t="shared" si="148"/>
      </c>
    </row>
    <row r="689" spans="16:37" ht="15">
      <c r="P689" s="312">
        <f t="shared" si="149"/>
        <v>3.8927483690052265</v>
      </c>
      <c r="Q689" s="247">
        <v>684</v>
      </c>
      <c r="R689" s="299">
        <f t="shared" si="150"/>
        <v>0.0055000000000000005</v>
      </c>
      <c r="S689" s="250">
        <v>1.5</v>
      </c>
      <c r="AA689" s="316">
        <f t="shared" si="139"/>
      </c>
      <c r="AB689" s="316">
        <f t="shared" si="140"/>
      </c>
      <c r="AC689" s="316">
        <f t="shared" si="141"/>
      </c>
      <c r="AD689" s="316">
        <f t="shared" si="142"/>
      </c>
      <c r="AE689" s="316">
        <f t="shared" si="143"/>
      </c>
      <c r="AG689" s="316">
        <f t="shared" si="144"/>
      </c>
      <c r="AH689" s="316">
        <f t="shared" si="145"/>
      </c>
      <c r="AI689" s="316">
        <f t="shared" si="146"/>
      </c>
      <c r="AJ689" s="316">
        <f t="shared" si="147"/>
      </c>
      <c r="AK689" s="316">
        <f t="shared" si="148"/>
      </c>
    </row>
    <row r="690" spans="16:37" ht="15">
      <c r="P690" s="312">
        <f t="shared" si="149"/>
        <v>3.907021779691579</v>
      </c>
      <c r="Q690" s="247">
        <v>685</v>
      </c>
      <c r="R690" s="299">
        <f t="shared" si="150"/>
        <v>0.0055000000000000005</v>
      </c>
      <c r="S690" s="250">
        <v>1.5</v>
      </c>
      <c r="AA690" s="316">
        <f t="shared" si="139"/>
      </c>
      <c r="AB690" s="316">
        <f t="shared" si="140"/>
      </c>
      <c r="AC690" s="316">
        <f t="shared" si="141"/>
      </c>
      <c r="AD690" s="316">
        <f t="shared" si="142"/>
      </c>
      <c r="AE690" s="316">
        <f t="shared" si="143"/>
      </c>
      <c r="AG690" s="316">
        <f t="shared" si="144"/>
      </c>
      <c r="AH690" s="316">
        <f t="shared" si="145"/>
      </c>
      <c r="AI690" s="316">
        <f t="shared" si="146"/>
      </c>
      <c r="AJ690" s="316">
        <f t="shared" si="147"/>
      </c>
      <c r="AK690" s="316">
        <f t="shared" si="148"/>
      </c>
    </row>
    <row r="691" spans="16:37" ht="15">
      <c r="P691" s="312">
        <f t="shared" si="149"/>
        <v>3.921347526217115</v>
      </c>
      <c r="Q691" s="247">
        <v>686</v>
      </c>
      <c r="R691" s="299">
        <f t="shared" si="150"/>
        <v>0.0055000000000000005</v>
      </c>
      <c r="S691" s="250">
        <v>1.5</v>
      </c>
      <c r="AA691" s="316">
        <f t="shared" si="139"/>
      </c>
      <c r="AB691" s="316">
        <f t="shared" si="140"/>
      </c>
      <c r="AC691" s="316">
        <f t="shared" si="141"/>
      </c>
      <c r="AD691" s="316">
        <f t="shared" si="142"/>
      </c>
      <c r="AE691" s="316">
        <f t="shared" si="143"/>
      </c>
      <c r="AG691" s="316">
        <f t="shared" si="144"/>
      </c>
      <c r="AH691" s="316">
        <f t="shared" si="145"/>
      </c>
      <c r="AI691" s="316">
        <f t="shared" si="146"/>
      </c>
      <c r="AJ691" s="316">
        <f t="shared" si="147"/>
      </c>
      <c r="AK691" s="316">
        <f t="shared" si="148"/>
      </c>
    </row>
    <row r="692" spans="16:37" ht="15">
      <c r="P692" s="312">
        <f t="shared" si="149"/>
        <v>3.9357258004799114</v>
      </c>
      <c r="Q692" s="247">
        <v>687</v>
      </c>
      <c r="R692" s="299">
        <f t="shared" si="150"/>
        <v>0.0055000000000000005</v>
      </c>
      <c r="S692" s="250">
        <v>1.5</v>
      </c>
      <c r="AA692" s="316">
        <f t="shared" si="139"/>
      </c>
      <c r="AB692" s="316">
        <f t="shared" si="140"/>
      </c>
      <c r="AC692" s="316">
        <f t="shared" si="141"/>
      </c>
      <c r="AD692" s="316">
        <f t="shared" si="142"/>
      </c>
      <c r="AE692" s="316">
        <f t="shared" si="143"/>
      </c>
      <c r="AG692" s="316">
        <f t="shared" si="144"/>
      </c>
      <c r="AH692" s="316">
        <f t="shared" si="145"/>
      </c>
      <c r="AI692" s="316">
        <f t="shared" si="146"/>
      </c>
      <c r="AJ692" s="316">
        <f t="shared" si="147"/>
      </c>
      <c r="AK692" s="316">
        <f t="shared" si="148"/>
      </c>
    </row>
    <row r="693" spans="16:37" ht="15">
      <c r="P693" s="312">
        <f t="shared" si="149"/>
        <v>3.950156795081671</v>
      </c>
      <c r="Q693" s="247">
        <v>688</v>
      </c>
      <c r="R693" s="299">
        <f t="shared" si="150"/>
        <v>0.0055000000000000005</v>
      </c>
      <c r="S693" s="250">
        <v>1.5</v>
      </c>
      <c r="AA693" s="316">
        <f t="shared" si="139"/>
      </c>
      <c r="AB693" s="316">
        <f t="shared" si="140"/>
      </c>
      <c r="AC693" s="316">
        <f t="shared" si="141"/>
      </c>
      <c r="AD693" s="316">
        <f t="shared" si="142"/>
      </c>
      <c r="AE693" s="316">
        <f t="shared" si="143"/>
      </c>
      <c r="AG693" s="316">
        <f t="shared" si="144"/>
      </c>
      <c r="AH693" s="316">
        <f t="shared" si="145"/>
      </c>
      <c r="AI693" s="316">
        <f t="shared" si="146"/>
      </c>
      <c r="AJ693" s="316">
        <f t="shared" si="147"/>
      </c>
      <c r="AK693" s="316">
        <f t="shared" si="148"/>
      </c>
    </row>
    <row r="694" spans="16:37" ht="15">
      <c r="P694" s="312">
        <f t="shared" si="149"/>
        <v>3.964640703330304</v>
      </c>
      <c r="Q694" s="247">
        <v>689</v>
      </c>
      <c r="R694" s="299">
        <f t="shared" si="150"/>
        <v>0.0055000000000000005</v>
      </c>
      <c r="S694" s="250">
        <v>1.5</v>
      </c>
      <c r="AA694" s="316">
        <f t="shared" si="139"/>
      </c>
      <c r="AB694" s="316">
        <f t="shared" si="140"/>
      </c>
      <c r="AC694" s="316">
        <f t="shared" si="141"/>
      </c>
      <c r="AD694" s="316">
        <f t="shared" si="142"/>
      </c>
      <c r="AE694" s="316">
        <f t="shared" si="143"/>
      </c>
      <c r="AG694" s="316">
        <f t="shared" si="144"/>
      </c>
      <c r="AH694" s="316">
        <f t="shared" si="145"/>
      </c>
      <c r="AI694" s="316">
        <f t="shared" si="146"/>
      </c>
      <c r="AJ694" s="316">
        <f t="shared" si="147"/>
      </c>
      <c r="AK694" s="316">
        <f t="shared" si="148"/>
      </c>
    </row>
    <row r="695" spans="16:37" ht="15">
      <c r="P695" s="312">
        <f t="shared" si="149"/>
        <v>3.979177719242515</v>
      </c>
      <c r="Q695" s="247">
        <v>690</v>
      </c>
      <c r="R695" s="299">
        <f t="shared" si="150"/>
        <v>0.0055000000000000005</v>
      </c>
      <c r="S695" s="250">
        <v>1.5</v>
      </c>
      <c r="AA695" s="316">
        <f t="shared" si="139"/>
      </c>
      <c r="AB695" s="316">
        <f t="shared" si="140"/>
      </c>
      <c r="AC695" s="316">
        <f t="shared" si="141"/>
      </c>
      <c r="AD695" s="316">
        <f t="shared" si="142"/>
      </c>
      <c r="AE695" s="316">
        <f t="shared" si="143"/>
      </c>
      <c r="AG695" s="316">
        <f t="shared" si="144"/>
      </c>
      <c r="AH695" s="316">
        <f t="shared" si="145"/>
      </c>
      <c r="AI695" s="316">
        <f t="shared" si="146"/>
      </c>
      <c r="AJ695" s="316">
        <f t="shared" si="147"/>
      </c>
      <c r="AK695" s="316">
        <f t="shared" si="148"/>
      </c>
    </row>
    <row r="696" spans="16:37" ht="15">
      <c r="P696" s="312">
        <f t="shared" si="149"/>
        <v>3.993768037546404</v>
      </c>
      <c r="Q696" s="247">
        <v>691</v>
      </c>
      <c r="R696" s="299">
        <f t="shared" si="150"/>
        <v>0.0055000000000000005</v>
      </c>
      <c r="S696" s="250">
        <v>1.5</v>
      </c>
      <c r="AA696" s="316">
        <f t="shared" si="139"/>
      </c>
      <c r="AB696" s="316">
        <f t="shared" si="140"/>
      </c>
      <c r="AC696" s="316">
        <f t="shared" si="141"/>
      </c>
      <c r="AD696" s="316">
        <f t="shared" si="142"/>
      </c>
      <c r="AE696" s="316">
        <f t="shared" si="143"/>
      </c>
      <c r="AG696" s="316">
        <f t="shared" si="144"/>
      </c>
      <c r="AH696" s="316">
        <f t="shared" si="145"/>
      </c>
      <c r="AI696" s="316">
        <f t="shared" si="146"/>
      </c>
      <c r="AJ696" s="316">
        <f t="shared" si="147"/>
      </c>
      <c r="AK696" s="316">
        <f t="shared" si="148"/>
      </c>
    </row>
    <row r="697" spans="16:37" ht="15">
      <c r="P697" s="312">
        <f t="shared" si="149"/>
        <v>4.008411853684074</v>
      </c>
      <c r="Q697" s="247">
        <v>692</v>
      </c>
      <c r="R697" s="299">
        <f t="shared" si="150"/>
        <v>0.0055000000000000005</v>
      </c>
      <c r="S697" s="250">
        <v>1.5</v>
      </c>
      <c r="AA697" s="316">
        <f t="shared" si="139"/>
      </c>
      <c r="AB697" s="316">
        <f t="shared" si="140"/>
      </c>
      <c r="AC697" s="316">
        <f t="shared" si="141"/>
      </c>
      <c r="AD697" s="316">
        <f t="shared" si="142"/>
      </c>
      <c r="AE697" s="316">
        <f t="shared" si="143"/>
      </c>
      <c r="AG697" s="316">
        <f t="shared" si="144"/>
      </c>
      <c r="AH697" s="316">
        <f t="shared" si="145"/>
      </c>
      <c r="AI697" s="316">
        <f t="shared" si="146"/>
      </c>
      <c r="AJ697" s="316">
        <f t="shared" si="147"/>
      </c>
      <c r="AK697" s="316">
        <f t="shared" si="148"/>
      </c>
    </row>
  </sheetData>
  <sheetProtection password="C6A6" sheet="1"/>
  <mergeCells count="5">
    <mergeCell ref="A2:L2"/>
    <mergeCell ref="A89:K89"/>
    <mergeCell ref="A85:K88"/>
    <mergeCell ref="E56:H56"/>
    <mergeCell ref="H38:K39"/>
  </mergeCells>
  <printOptions/>
  <pageMargins left="1.141732283464567" right="0.7480314960629921" top="0.984251968503937" bottom="0.984251968503937" header="0.5118110236220472" footer="0.5118110236220472"/>
  <pageSetup firstPageNumber="5" useFirstPageNumber="1" fitToHeight="0" fitToWidth="1" horizontalDpi="600" verticalDpi="600" orientation="portrait" scale="78" r:id="rId1"/>
  <headerFooter alignWithMargins="0">
    <oddHeader>&amp;L&amp;9Guidelines: Aquaculture Production Costs&amp;R&amp;10&amp;P</oddHeader>
    <oddFooter>&amp;R&amp;9Manitoba Agriculture, Farm Management</oddFooter>
  </headerFooter>
  <rowBreaks count="2" manualBreakCount="2">
    <brk id="54" max="11" man="1"/>
    <brk id="90" max="11" man="1"/>
  </rowBreaks>
  <ignoredErrors>
    <ignoredError sqref="A5:A7" numberStoredAsText="1"/>
    <ignoredError sqref="F20:J22" unlockedFormula="1"/>
  </ignoredErrors>
</worksheet>
</file>

<file path=xl/worksheets/sheet7.xml><?xml version="1.0" encoding="utf-8"?>
<worksheet xmlns="http://schemas.openxmlformats.org/spreadsheetml/2006/main" xmlns:r="http://schemas.openxmlformats.org/officeDocument/2006/relationships">
  <sheetPr codeName="Sheet8"/>
  <dimension ref="A1:N237"/>
  <sheetViews>
    <sheetView workbookViewId="0" topLeftCell="A1">
      <selection activeCell="A1" sqref="A1"/>
    </sheetView>
  </sheetViews>
  <sheetFormatPr defaultColWidth="8.88671875" defaultRowHeight="15"/>
  <cols>
    <col min="1" max="1" width="2.6640625" style="33" customWidth="1"/>
    <col min="2" max="2" width="5.6640625" style="33" customWidth="1"/>
    <col min="3" max="3" width="2.88671875" style="33" customWidth="1"/>
    <col min="4" max="4" width="15.99609375" style="33" customWidth="1"/>
    <col min="5" max="5" width="2.21484375" style="33" customWidth="1"/>
    <col min="6" max="6" width="11.4453125" style="33" customWidth="1"/>
    <col min="7" max="7" width="5.77734375" style="33" customWidth="1"/>
    <col min="8" max="8" width="11.3359375" style="33" customWidth="1"/>
    <col min="9" max="9" width="13.4453125" style="33" customWidth="1"/>
    <col min="10" max="12" width="8.88671875" style="33" customWidth="1"/>
    <col min="13" max="13" width="0" style="380" hidden="1" customWidth="1"/>
    <col min="14" max="16384" width="8.88671875" style="33" customWidth="1"/>
  </cols>
  <sheetData>
    <row r="1" ht="15">
      <c r="E1" s="33" t="s">
        <v>4</v>
      </c>
    </row>
    <row r="2" spans="1:13" s="412" customFormat="1" ht="21.75" customHeight="1">
      <c r="A2" s="456" t="str">
        <f>"Aquaculture ("&amp;'Finish Input'!I10*1000&amp;"g to "&amp;'Finish Input'!J18&amp;"kg) Grow-out Cost of Production Worksheet"</f>
        <v>Aquaculture (20g to 2kg) Grow-out Cost of Production Worksheet</v>
      </c>
      <c r="B2" s="456"/>
      <c r="C2" s="456"/>
      <c r="D2" s="456"/>
      <c r="E2" s="456"/>
      <c r="F2" s="456"/>
      <c r="G2" s="456"/>
      <c r="H2" s="456"/>
      <c r="I2" s="456"/>
      <c r="J2" s="456"/>
      <c r="K2" s="410"/>
      <c r="L2" s="410"/>
      <c r="M2" s="411"/>
    </row>
    <row r="3" spans="1:13" s="59" customFormat="1" ht="15">
      <c r="A3" s="409"/>
      <c r="M3" s="380"/>
    </row>
    <row r="4" spans="7:8" ht="15">
      <c r="G4" s="236"/>
      <c r="H4" s="59"/>
    </row>
    <row r="5" spans="1:9" ht="15.75">
      <c r="A5" s="36" t="s">
        <v>183</v>
      </c>
      <c r="I5" s="106" t="s">
        <v>165</v>
      </c>
    </row>
    <row r="7" spans="1:11" ht="15.75">
      <c r="A7" s="36" t="s">
        <v>33</v>
      </c>
      <c r="K7" s="49"/>
    </row>
    <row r="9" spans="2:9" ht="15.75">
      <c r="B9" s="37">
        <v>1.01</v>
      </c>
      <c r="C9" s="36" t="s">
        <v>282</v>
      </c>
      <c r="D9" s="36"/>
      <c r="I9" s="34"/>
    </row>
    <row r="10" spans="4:9" ht="15">
      <c r="D10" s="233">
        <f>'Finish Input'!F24</f>
        <v>0.030000000000000002</v>
      </c>
      <c r="F10" s="161" t="s">
        <v>299</v>
      </c>
      <c r="I10" s="38"/>
    </row>
    <row r="11" spans="3:9" ht="15">
      <c r="C11" s="33" t="s">
        <v>46</v>
      </c>
      <c r="D11" s="111">
        <f>'Finish Input'!F22</f>
        <v>0.888</v>
      </c>
      <c r="F11" s="33" t="s">
        <v>47</v>
      </c>
      <c r="I11" s="39"/>
    </row>
    <row r="12" spans="3:9" ht="15">
      <c r="C12" s="33" t="s">
        <v>54</v>
      </c>
      <c r="D12" s="233">
        <f>D10*D11</f>
        <v>0.026640000000000004</v>
      </c>
      <c r="F12" s="161" t="s">
        <v>300</v>
      </c>
      <c r="I12" s="39"/>
    </row>
    <row r="13" spans="3:9" ht="15">
      <c r="C13" s="33" t="s">
        <v>46</v>
      </c>
      <c r="D13" s="84">
        <f>'Finish Input'!H43</f>
        <v>2680</v>
      </c>
      <c r="F13" s="33" t="s">
        <v>59</v>
      </c>
      <c r="I13" s="39"/>
    </row>
    <row r="14" spans="1:9" ht="15">
      <c r="A14" s="59"/>
      <c r="C14" s="33" t="s">
        <v>162</v>
      </c>
      <c r="D14" s="99">
        <v>1000</v>
      </c>
      <c r="F14" s="33" t="s">
        <v>63</v>
      </c>
      <c r="G14" s="40"/>
      <c r="I14" s="39"/>
    </row>
    <row r="15" spans="3:9" ht="15">
      <c r="C15" s="33" t="s">
        <v>46</v>
      </c>
      <c r="D15" s="99">
        <f>'Finish Input'!$F$16*'Finish Input'!G37</f>
        <v>65735.43689320389</v>
      </c>
      <c r="F15" s="236" t="s">
        <v>447</v>
      </c>
      <c r="G15" s="40"/>
      <c r="I15" s="39"/>
    </row>
    <row r="16" spans="3:9" ht="15">
      <c r="C16" s="33" t="s">
        <v>162</v>
      </c>
      <c r="D16" s="100">
        <f>'Finish Input'!G38</f>
        <v>120049.56310679612</v>
      </c>
      <c r="F16" s="269" t="s">
        <v>445</v>
      </c>
      <c r="G16" s="40"/>
      <c r="I16" s="39"/>
    </row>
    <row r="17" spans="3:9" ht="15.75">
      <c r="C17" s="36" t="s">
        <v>54</v>
      </c>
      <c r="D17" s="91">
        <f>((D10*D11)*(D13/D14)*D15)/D16</f>
        <v>0.0390938087788175</v>
      </c>
      <c r="F17" s="58" t="s">
        <v>446</v>
      </c>
      <c r="G17" s="36"/>
      <c r="I17" s="39"/>
    </row>
    <row r="18" ht="15">
      <c r="C18" s="33" t="s">
        <v>4</v>
      </c>
    </row>
    <row r="19" spans="2:3" ht="15.75">
      <c r="B19" s="37">
        <v>1.02</v>
      </c>
      <c r="C19" s="36" t="s">
        <v>283</v>
      </c>
    </row>
    <row r="20" spans="4:9" ht="15">
      <c r="D20" s="233">
        <f>'Finish Input'!G24</f>
        <v>0.15000000000000002</v>
      </c>
      <c r="F20" s="161" t="s">
        <v>299</v>
      </c>
      <c r="I20" s="38"/>
    </row>
    <row r="21" spans="3:9" ht="15">
      <c r="C21" s="33" t="s">
        <v>46</v>
      </c>
      <c r="D21" s="111">
        <f>'Finish Input'!G22</f>
        <v>0.924</v>
      </c>
      <c r="F21" s="33" t="s">
        <v>47</v>
      </c>
      <c r="I21" s="39"/>
    </row>
    <row r="22" spans="3:9" ht="15">
      <c r="C22" s="33" t="s">
        <v>54</v>
      </c>
      <c r="D22" s="233">
        <f>D20*D21</f>
        <v>0.13860000000000003</v>
      </c>
      <c r="F22" s="161" t="s">
        <v>300</v>
      </c>
      <c r="I22" s="39"/>
    </row>
    <row r="23" spans="3:9" ht="15">
      <c r="C23" s="33" t="s">
        <v>46</v>
      </c>
      <c r="D23" s="84">
        <f>'Finish Input'!H44</f>
        <v>2600</v>
      </c>
      <c r="F23" s="33" t="s">
        <v>59</v>
      </c>
      <c r="I23" s="39"/>
    </row>
    <row r="24" spans="3:9" ht="15">
      <c r="C24" s="33" t="s">
        <v>162</v>
      </c>
      <c r="D24" s="99">
        <v>1000</v>
      </c>
      <c r="F24" s="33" t="s">
        <v>63</v>
      </c>
      <c r="G24" s="40"/>
      <c r="I24" s="39"/>
    </row>
    <row r="25" spans="3:9" ht="15">
      <c r="C25" s="33" t="s">
        <v>46</v>
      </c>
      <c r="D25" s="99">
        <f>'Finish Input'!$G$16*'Finish Input'!G37</f>
        <v>64092.05097087379</v>
      </c>
      <c r="F25" s="236" t="s">
        <v>447</v>
      </c>
      <c r="G25" s="40"/>
      <c r="I25" s="39"/>
    </row>
    <row r="26" spans="3:9" ht="15">
      <c r="C26" s="33" t="s">
        <v>162</v>
      </c>
      <c r="D26" s="100">
        <f>'Finish Input'!G38</f>
        <v>120049.56310679612</v>
      </c>
      <c r="F26" s="269" t="s">
        <v>445</v>
      </c>
      <c r="G26" s="40"/>
      <c r="I26" s="39"/>
    </row>
    <row r="27" spans="3:9" ht="15.75">
      <c r="C27" s="36" t="s">
        <v>54</v>
      </c>
      <c r="D27" s="91">
        <f>((D20*D21)*(D23/D24)*D25)/D26</f>
        <v>0.19238896744103673</v>
      </c>
      <c r="F27" s="58" t="s">
        <v>446</v>
      </c>
      <c r="G27" s="36"/>
      <c r="I27" s="39"/>
    </row>
    <row r="28" ht="15">
      <c r="C28" s="33" t="s">
        <v>4</v>
      </c>
    </row>
    <row r="29" spans="2:4" ht="15.75">
      <c r="B29" s="37">
        <v>1.03</v>
      </c>
      <c r="C29" s="36" t="s">
        <v>284</v>
      </c>
      <c r="D29" s="36"/>
    </row>
    <row r="30" spans="4:9" ht="15">
      <c r="D30" s="233">
        <f>'Finish Input'!H24</f>
        <v>0.3</v>
      </c>
      <c r="F30" s="161" t="s">
        <v>299</v>
      </c>
      <c r="I30" s="38"/>
    </row>
    <row r="31" spans="3:9" ht="15">
      <c r="C31" s="33" t="s">
        <v>46</v>
      </c>
      <c r="D31" s="111">
        <f>'Finish Input'!H22</f>
        <v>0.984</v>
      </c>
      <c r="F31" s="33" t="s">
        <v>47</v>
      </c>
      <c r="I31" s="39"/>
    </row>
    <row r="32" spans="3:9" ht="15">
      <c r="C32" s="33" t="s">
        <v>54</v>
      </c>
      <c r="D32" s="233">
        <f>D30*D31</f>
        <v>0.29519999999999996</v>
      </c>
      <c r="F32" s="161" t="s">
        <v>300</v>
      </c>
      <c r="I32" s="39"/>
    </row>
    <row r="33" spans="3:9" ht="15">
      <c r="C33" s="33" t="s">
        <v>46</v>
      </c>
      <c r="D33" s="84">
        <f>'Finish Input'!H45</f>
        <v>1985</v>
      </c>
      <c r="F33" s="33" t="s">
        <v>59</v>
      </c>
      <c r="I33" s="39"/>
    </row>
    <row r="34" spans="3:9" ht="15">
      <c r="C34" s="33" t="s">
        <v>162</v>
      </c>
      <c r="D34" s="99">
        <v>1000</v>
      </c>
      <c r="F34" s="33" t="s">
        <v>63</v>
      </c>
      <c r="G34" s="40"/>
      <c r="I34" s="39"/>
    </row>
    <row r="35" spans="3:9" ht="15">
      <c r="C35" s="33" t="s">
        <v>46</v>
      </c>
      <c r="D35" s="99">
        <f>'Finish Input'!$H$16*'Finish Input'!G37</f>
        <v>62810.1213592233</v>
      </c>
      <c r="F35" s="236" t="s">
        <v>447</v>
      </c>
      <c r="I35" s="39"/>
    </row>
    <row r="36" spans="3:9" ht="15">
      <c r="C36" s="33" t="s">
        <v>162</v>
      </c>
      <c r="D36" s="100">
        <f>'Finish Input'!G38</f>
        <v>120049.56310679612</v>
      </c>
      <c r="F36" s="269" t="s">
        <v>445</v>
      </c>
      <c r="I36" s="39"/>
    </row>
    <row r="37" spans="3:9" ht="15.75">
      <c r="C37" s="36" t="s">
        <v>54</v>
      </c>
      <c r="D37" s="91">
        <f>((D30*D31)*(D33/D34)*D35)/D36</f>
        <v>0.3065814775216223</v>
      </c>
      <c r="F37" s="58" t="s">
        <v>446</v>
      </c>
      <c r="G37" s="36"/>
      <c r="I37" s="39"/>
    </row>
    <row r="38" spans="3:9" ht="15.75">
      <c r="C38" s="36"/>
      <c r="D38" s="91"/>
      <c r="F38" s="36"/>
      <c r="G38" s="36"/>
      <c r="I38" s="34"/>
    </row>
    <row r="39" spans="2:9" ht="15.75">
      <c r="B39" s="37">
        <v>1.04</v>
      </c>
      <c r="C39" s="36" t="s">
        <v>285</v>
      </c>
      <c r="D39" s="36"/>
      <c r="I39" s="34"/>
    </row>
    <row r="40" spans="4:9" ht="15">
      <c r="D40" s="233">
        <f>'Finish Input'!I24</f>
        <v>0.5</v>
      </c>
      <c r="F40" s="161" t="s">
        <v>299</v>
      </c>
      <c r="I40" s="38"/>
    </row>
    <row r="41" spans="3:9" ht="15">
      <c r="C41" s="33" t="s">
        <v>46</v>
      </c>
      <c r="D41" s="111">
        <f>'Finish Input'!I22</f>
        <v>1.062</v>
      </c>
      <c r="F41" s="33" t="s">
        <v>47</v>
      </c>
      <c r="I41" s="39"/>
    </row>
    <row r="42" spans="3:9" ht="15">
      <c r="C42" s="33" t="s">
        <v>54</v>
      </c>
      <c r="D42" s="233">
        <f>D40*D41</f>
        <v>0.531</v>
      </c>
      <c r="F42" s="161" t="s">
        <v>300</v>
      </c>
      <c r="I42" s="39"/>
    </row>
    <row r="43" spans="3:9" ht="15">
      <c r="C43" s="33" t="s">
        <v>46</v>
      </c>
      <c r="D43" s="84">
        <f>'Finish Input'!H47</f>
        <v>1750</v>
      </c>
      <c r="F43" s="33" t="s">
        <v>59</v>
      </c>
      <c r="I43" s="39"/>
    </row>
    <row r="44" spans="3:9" ht="15">
      <c r="C44" s="33" t="s">
        <v>162</v>
      </c>
      <c r="D44" s="99">
        <v>1000</v>
      </c>
      <c r="F44" s="33" t="s">
        <v>63</v>
      </c>
      <c r="G44" s="40"/>
      <c r="I44" s="39"/>
    </row>
    <row r="45" spans="3:9" ht="15">
      <c r="C45" s="33" t="s">
        <v>46</v>
      </c>
      <c r="D45" s="99">
        <f>'Finish Input'!$I$16*'Finish Input'!G37</f>
        <v>61710.69174757282</v>
      </c>
      <c r="F45" s="236" t="s">
        <v>447</v>
      </c>
      <c r="G45" s="40"/>
      <c r="I45" s="39"/>
    </row>
    <row r="46" spans="3:9" ht="15">
      <c r="C46" s="33" t="s">
        <v>162</v>
      </c>
      <c r="D46" s="100">
        <f>'Finish Input'!G38</f>
        <v>120049.56310679612</v>
      </c>
      <c r="F46" s="269" t="s">
        <v>445</v>
      </c>
      <c r="G46" s="40"/>
      <c r="I46" s="39"/>
    </row>
    <row r="47" spans="3:9" ht="15.75">
      <c r="C47" s="36" t="s">
        <v>54</v>
      </c>
      <c r="D47" s="91">
        <f>((D40*D41)*(D43/D44)*D45)/D46</f>
        <v>0.4776748771290256</v>
      </c>
      <c r="F47" s="58" t="s">
        <v>446</v>
      </c>
      <c r="G47" s="36"/>
      <c r="I47" s="39"/>
    </row>
    <row r="48" spans="3:9" ht="15.75">
      <c r="C48" s="36"/>
      <c r="D48" s="91"/>
      <c r="F48" s="36"/>
      <c r="G48" s="36"/>
      <c r="I48" s="34"/>
    </row>
    <row r="49" spans="2:9" ht="15.75">
      <c r="B49" s="37">
        <v>1.05</v>
      </c>
      <c r="C49" s="36" t="s">
        <v>343</v>
      </c>
      <c r="D49" s="36"/>
      <c r="I49" s="34"/>
    </row>
    <row r="50" spans="4:9" ht="15">
      <c r="D50" s="233">
        <f>'Finish Input'!J24</f>
        <v>1</v>
      </c>
      <c r="F50" s="161" t="s">
        <v>299</v>
      </c>
      <c r="I50" s="38"/>
    </row>
    <row r="51" spans="3:9" ht="15">
      <c r="C51" s="33" t="s">
        <v>46</v>
      </c>
      <c r="D51" s="111">
        <f>'Finish Input'!J22</f>
        <v>1.2</v>
      </c>
      <c r="F51" s="33" t="s">
        <v>47</v>
      </c>
      <c r="I51" s="39"/>
    </row>
    <row r="52" spans="3:9" ht="15">
      <c r="C52" s="33" t="s">
        <v>54</v>
      </c>
      <c r="D52" s="233">
        <f>D50*D51</f>
        <v>1.2</v>
      </c>
      <c r="F52" s="161" t="s">
        <v>300</v>
      </c>
      <c r="I52" s="39"/>
    </row>
    <row r="53" spans="3:9" ht="15">
      <c r="C53" s="33" t="s">
        <v>46</v>
      </c>
      <c r="D53" s="84">
        <f>'Finish Input'!H47</f>
        <v>1750</v>
      </c>
      <c r="F53" s="33" t="s">
        <v>59</v>
      </c>
      <c r="I53" s="39"/>
    </row>
    <row r="54" spans="3:9" ht="15">
      <c r="C54" s="33" t="s">
        <v>162</v>
      </c>
      <c r="D54" s="99">
        <v>1000</v>
      </c>
      <c r="F54" s="33" t="s">
        <v>63</v>
      </c>
      <c r="G54" s="40"/>
      <c r="I54" s="39"/>
    </row>
    <row r="55" spans="3:9" ht="15">
      <c r="C55" s="33" t="s">
        <v>46</v>
      </c>
      <c r="D55" s="99">
        <f>'Finish Input'!J16*'Finish Input'!G37</f>
        <v>60784.902912621365</v>
      </c>
      <c r="F55" s="236" t="s">
        <v>447</v>
      </c>
      <c r="G55" s="40"/>
      <c r="I55" s="39"/>
    </row>
    <row r="56" spans="3:9" ht="15">
      <c r="C56" s="33" t="s">
        <v>162</v>
      </c>
      <c r="D56" s="100">
        <f>'Finish Input'!G38</f>
        <v>120049.56310679612</v>
      </c>
      <c r="F56" s="269" t="s">
        <v>445</v>
      </c>
      <c r="G56" s="40"/>
      <c r="I56" s="39"/>
    </row>
    <row r="57" spans="3:9" ht="15.75">
      <c r="C57" s="36" t="s">
        <v>54</v>
      </c>
      <c r="D57" s="91">
        <f>((D50*D51)*(D53/D54)*D55)/D56</f>
        <v>1.06329663193317</v>
      </c>
      <c r="F57" s="58" t="s">
        <v>446</v>
      </c>
      <c r="G57" s="36"/>
      <c r="I57" s="39"/>
    </row>
    <row r="58" spans="3:13" s="59" customFormat="1" ht="15">
      <c r="C58" s="59" t="s">
        <v>4</v>
      </c>
      <c r="D58" s="236"/>
      <c r="M58" s="380"/>
    </row>
    <row r="59" spans="1:9" ht="15.75">
      <c r="A59" s="36" t="s">
        <v>110</v>
      </c>
      <c r="I59" s="34"/>
    </row>
    <row r="60" spans="9:13" s="59" customFormat="1" ht="15">
      <c r="I60" s="82"/>
      <c r="M60" s="380"/>
    </row>
    <row r="61" spans="2:9" ht="15.75">
      <c r="B61" s="37">
        <v>2.01</v>
      </c>
      <c r="C61" s="36" t="s">
        <v>302</v>
      </c>
      <c r="D61" s="36"/>
      <c r="E61" s="36"/>
      <c r="I61" s="34"/>
    </row>
    <row r="62" spans="4:9" ht="15">
      <c r="D62" s="234">
        <f>'Finish Input'!F10</f>
        <v>0.39</v>
      </c>
      <c r="F62" s="161" t="s">
        <v>339</v>
      </c>
      <c r="I62" s="38"/>
    </row>
    <row r="63" spans="3:9" ht="15">
      <c r="C63" s="33" t="s">
        <v>46</v>
      </c>
      <c r="D63" s="99">
        <f>'Finish Input'!G32*'Finish Input'!G37</f>
        <v>65735.43689320389</v>
      </c>
      <c r="F63" s="161" t="s">
        <v>448</v>
      </c>
      <c r="I63" s="39"/>
    </row>
    <row r="64" spans="3:9" ht="15">
      <c r="C64" s="33" t="s">
        <v>162</v>
      </c>
      <c r="D64" s="100">
        <f>'Finish Input'!G38</f>
        <v>120049.56310679612</v>
      </c>
      <c r="E64" s="40"/>
      <c r="F64" s="269" t="s">
        <v>445</v>
      </c>
      <c r="G64" s="40"/>
      <c r="I64" s="39"/>
    </row>
    <row r="65" spans="3:9" ht="15.75">
      <c r="C65" s="36" t="s">
        <v>54</v>
      </c>
      <c r="D65" s="91">
        <f>((D62*D63)/D64)</f>
        <v>0.21355196741151816</v>
      </c>
      <c r="E65" s="36"/>
      <c r="F65" s="58" t="s">
        <v>446</v>
      </c>
      <c r="G65" s="36"/>
      <c r="I65" s="39"/>
    </row>
    <row r="66" ht="15">
      <c r="F66" s="59"/>
    </row>
    <row r="67" spans="2:3" ht="15.75">
      <c r="B67" s="37">
        <v>2.02</v>
      </c>
      <c r="C67" s="36" t="s">
        <v>128</v>
      </c>
    </row>
    <row r="68" spans="2:9" ht="15.75">
      <c r="B68" s="37"/>
      <c r="C68" s="36"/>
      <c r="D68" s="33">
        <f>'Finish Input'!G106</f>
        <v>1000</v>
      </c>
      <c r="F68" s="33" t="s">
        <v>225</v>
      </c>
      <c r="I68" s="38"/>
    </row>
    <row r="69" spans="3:9" ht="15">
      <c r="C69" s="33" t="s">
        <v>161</v>
      </c>
      <c r="D69" s="84">
        <f>'Finish Input'!G107</f>
        <v>1500</v>
      </c>
      <c r="F69" s="161" t="s">
        <v>440</v>
      </c>
      <c r="I69" s="38"/>
    </row>
    <row r="70" spans="3:9" ht="15">
      <c r="C70" s="33" t="s">
        <v>162</v>
      </c>
      <c r="D70" s="100">
        <f>'Finish Input'!G38</f>
        <v>120049.56310679612</v>
      </c>
      <c r="F70" s="269" t="s">
        <v>445</v>
      </c>
      <c r="G70" s="40"/>
      <c r="I70" s="39"/>
    </row>
    <row r="71" spans="3:9" ht="15.75">
      <c r="C71" s="36" t="s">
        <v>54</v>
      </c>
      <c r="D71" s="91">
        <f>(D68+D69)/D70</f>
        <v>0.020824732179791437</v>
      </c>
      <c r="F71" s="58" t="s">
        <v>446</v>
      </c>
      <c r="G71" s="36"/>
      <c r="I71" s="39"/>
    </row>
    <row r="73" spans="2:6" ht="15.75">
      <c r="B73" s="37">
        <v>2.03</v>
      </c>
      <c r="C73" s="36" t="s">
        <v>137</v>
      </c>
      <c r="D73" s="36"/>
      <c r="E73" s="36"/>
      <c r="F73" s="36"/>
    </row>
    <row r="74" spans="3:9" ht="15">
      <c r="C74" s="33" t="s">
        <v>4</v>
      </c>
      <c r="D74" s="132">
        <f>'Finish Input'!G109</f>
        <v>1.1</v>
      </c>
      <c r="F74" s="33" t="s">
        <v>168</v>
      </c>
      <c r="I74" s="38"/>
    </row>
    <row r="75" spans="3:9" ht="15">
      <c r="C75" s="33" t="s">
        <v>46</v>
      </c>
      <c r="D75" s="101">
        <f>'Finish Input'!H73</f>
        <v>1067000</v>
      </c>
      <c r="F75" s="33" t="s">
        <v>169</v>
      </c>
      <c r="I75" s="39"/>
    </row>
    <row r="76" spans="3:9" ht="15">
      <c r="C76" s="33" t="s">
        <v>162</v>
      </c>
      <c r="D76" s="100">
        <f>'Finish Input'!G38</f>
        <v>120049.56310679612</v>
      </c>
      <c r="F76" s="269" t="s">
        <v>445</v>
      </c>
      <c r="G76" s="40"/>
      <c r="I76" s="39"/>
    </row>
    <row r="77" spans="3:9" ht="15.75">
      <c r="C77" s="36" t="s">
        <v>54</v>
      </c>
      <c r="D77" s="91">
        <f>D74/100*D75/D76</f>
        <v>0.09776795263768485</v>
      </c>
      <c r="F77" s="58" t="s">
        <v>446</v>
      </c>
      <c r="G77" s="36"/>
      <c r="I77" s="39"/>
    </row>
    <row r="78" s="59" customFormat="1" ht="15">
      <c r="M78" s="380"/>
    </row>
    <row r="79" spans="2:6" ht="15.75">
      <c r="B79" s="37">
        <v>2.04</v>
      </c>
      <c r="C79" s="36" t="s">
        <v>303</v>
      </c>
      <c r="D79" s="36"/>
      <c r="E79" s="36"/>
      <c r="F79" s="36"/>
    </row>
    <row r="80" spans="2:9" ht="15.75">
      <c r="B80" s="37"/>
      <c r="C80" s="36"/>
      <c r="D80" s="101">
        <f>'Finish Input'!G111*'Finish Input'!G112</f>
        <v>38950</v>
      </c>
      <c r="E80" s="36"/>
      <c r="F80" s="161" t="s">
        <v>431</v>
      </c>
      <c r="I80" s="38"/>
    </row>
    <row r="81" spans="2:9" ht="15.75">
      <c r="B81" s="37"/>
      <c r="C81" s="33" t="s">
        <v>161</v>
      </c>
      <c r="D81" s="101">
        <f>'Finish Input'!G113*'Finish Input'!G114</f>
        <v>1500</v>
      </c>
      <c r="E81" s="36"/>
      <c r="F81" s="161" t="s">
        <v>304</v>
      </c>
      <c r="I81" s="38"/>
    </row>
    <row r="82" spans="3:9" ht="15">
      <c r="C82" s="33" t="s">
        <v>162</v>
      </c>
      <c r="D82" s="100">
        <f>'Finish Input'!G38</f>
        <v>120049.56310679612</v>
      </c>
      <c r="F82" s="269" t="s">
        <v>445</v>
      </c>
      <c r="I82" s="39"/>
    </row>
    <row r="83" spans="3:9" ht="15.75">
      <c r="C83" s="36" t="s">
        <v>54</v>
      </c>
      <c r="D83" s="91">
        <f>(D80+D81)/D82</f>
        <v>0.33694416666902544</v>
      </c>
      <c r="F83" s="58" t="s">
        <v>446</v>
      </c>
      <c r="I83" s="39"/>
    </row>
    <row r="84" spans="3:13" s="59" customFormat="1" ht="15.75">
      <c r="C84" s="58"/>
      <c r="D84" s="237"/>
      <c r="F84" s="58"/>
      <c r="I84" s="82"/>
      <c r="M84" s="380"/>
    </row>
    <row r="85" spans="2:9" ht="15.75">
      <c r="B85" s="37">
        <v>2.05</v>
      </c>
      <c r="C85" s="36" t="s">
        <v>312</v>
      </c>
      <c r="D85" s="91"/>
      <c r="F85" s="36"/>
      <c r="I85" s="34"/>
    </row>
    <row r="86" spans="3:9" ht="15.75">
      <c r="C86" s="36"/>
      <c r="D86" s="102">
        <f>'Finish Input'!G116</f>
        <v>600</v>
      </c>
      <c r="F86" s="161" t="s">
        <v>313</v>
      </c>
      <c r="I86" s="38"/>
    </row>
    <row r="87" spans="3:9" ht="15">
      <c r="C87" s="161" t="s">
        <v>161</v>
      </c>
      <c r="D87" s="102">
        <f>'Finish Input'!G117</f>
        <v>840</v>
      </c>
      <c r="F87" s="161" t="s">
        <v>314</v>
      </c>
      <c r="I87" s="39"/>
    </row>
    <row r="88" spans="3:9" ht="15">
      <c r="C88" s="33" t="s">
        <v>162</v>
      </c>
      <c r="D88" s="100">
        <f>'Finish Input'!G38</f>
        <v>120049.56310679612</v>
      </c>
      <c r="F88" s="269" t="s">
        <v>445</v>
      </c>
      <c r="I88" s="39"/>
    </row>
    <row r="89" spans="3:9" ht="15.75">
      <c r="C89" s="36" t="s">
        <v>54</v>
      </c>
      <c r="D89" s="91">
        <f>(D86+D87)/D88</f>
        <v>0.011995045735559868</v>
      </c>
      <c r="F89" s="58" t="s">
        <v>446</v>
      </c>
      <c r="I89" s="39"/>
    </row>
    <row r="90" spans="3:13" s="59" customFormat="1" ht="15.75">
      <c r="C90" s="58"/>
      <c r="D90" s="237"/>
      <c r="F90" s="58"/>
      <c r="I90" s="45"/>
      <c r="M90" s="380"/>
    </row>
    <row r="91" spans="2:9" ht="15.75">
      <c r="B91" s="37">
        <v>2.06</v>
      </c>
      <c r="C91" s="36" t="s">
        <v>317</v>
      </c>
      <c r="D91" s="91"/>
      <c r="F91" s="36"/>
      <c r="I91" s="34"/>
    </row>
    <row r="92" spans="2:9" ht="15.75">
      <c r="B92" s="37"/>
      <c r="C92" s="161"/>
      <c r="D92" s="102">
        <f>'Finish Input'!G119</f>
        <v>500</v>
      </c>
      <c r="E92" s="161"/>
      <c r="F92" s="161" t="s">
        <v>320</v>
      </c>
      <c r="I92" s="38"/>
    </row>
    <row r="93" spans="2:9" ht="15.75">
      <c r="B93" s="37"/>
      <c r="C93" s="161" t="s">
        <v>161</v>
      </c>
      <c r="D93" s="102">
        <f>'Finish Input'!G120</f>
        <v>500</v>
      </c>
      <c r="E93" s="161"/>
      <c r="F93" s="161" t="s">
        <v>321</v>
      </c>
      <c r="I93" s="39"/>
    </row>
    <row r="94" spans="2:9" ht="15.75">
      <c r="B94" s="37"/>
      <c r="C94" s="33" t="s">
        <v>162</v>
      </c>
      <c r="D94" s="100">
        <f>'Finish Input'!G38</f>
        <v>120049.56310679612</v>
      </c>
      <c r="E94" s="161"/>
      <c r="F94" s="269" t="s">
        <v>445</v>
      </c>
      <c r="I94" s="39"/>
    </row>
    <row r="95" spans="2:9" ht="15.75">
      <c r="B95" s="37"/>
      <c r="C95" s="36" t="s">
        <v>54</v>
      </c>
      <c r="D95" s="91">
        <f>(D92+D93)/D94</f>
        <v>0.008329892871916574</v>
      </c>
      <c r="F95" s="58" t="s">
        <v>446</v>
      </c>
      <c r="I95" s="39"/>
    </row>
    <row r="96" spans="2:9" ht="15.75">
      <c r="B96" s="37"/>
      <c r="C96" s="36"/>
      <c r="D96" s="91"/>
      <c r="F96" s="36"/>
      <c r="I96" s="45"/>
    </row>
    <row r="97" spans="2:9" ht="15.75">
      <c r="B97" s="37">
        <v>2.07</v>
      </c>
      <c r="C97" s="36" t="s">
        <v>322</v>
      </c>
      <c r="D97" s="91"/>
      <c r="F97" s="36"/>
      <c r="I97" s="34"/>
    </row>
    <row r="98" spans="2:9" ht="15.75">
      <c r="B98" s="37"/>
      <c r="C98" s="36"/>
      <c r="D98" s="102">
        <f>'Finish Input'!G122</f>
        <v>2000</v>
      </c>
      <c r="E98" s="161"/>
      <c r="F98" s="161" t="s">
        <v>323</v>
      </c>
      <c r="I98" s="38"/>
    </row>
    <row r="99" spans="2:9" ht="15.75">
      <c r="B99" s="37"/>
      <c r="C99" s="33" t="s">
        <v>162</v>
      </c>
      <c r="D99" s="100">
        <f>'Finish Input'!G38</f>
        <v>120049.56310679612</v>
      </c>
      <c r="E99" s="161"/>
      <c r="F99" s="269" t="s">
        <v>445</v>
      </c>
      <c r="I99" s="39"/>
    </row>
    <row r="100" spans="2:9" ht="15.75">
      <c r="B100" s="37"/>
      <c r="C100" s="36" t="s">
        <v>54</v>
      </c>
      <c r="D100" s="91">
        <f>D98/D99</f>
        <v>0.016659785743833148</v>
      </c>
      <c r="F100" s="58" t="s">
        <v>446</v>
      </c>
      <c r="I100" s="39"/>
    </row>
    <row r="101" spans="2:13" s="59" customFormat="1" ht="15.75">
      <c r="B101" s="238"/>
      <c r="C101" s="58"/>
      <c r="D101" s="237"/>
      <c r="F101" s="58"/>
      <c r="I101" s="45"/>
      <c r="M101" s="380"/>
    </row>
    <row r="102" spans="2:9" ht="15.75">
      <c r="B102" s="37">
        <v>2.08</v>
      </c>
      <c r="C102" s="36" t="s">
        <v>140</v>
      </c>
      <c r="D102" s="36"/>
      <c r="I102" s="34"/>
    </row>
    <row r="103" spans="2:9" ht="15.75">
      <c r="B103" s="36"/>
      <c r="D103" s="101">
        <f>'Finish Input'!H73</f>
        <v>1067000</v>
      </c>
      <c r="F103" s="33" t="s">
        <v>200</v>
      </c>
      <c r="I103" s="38"/>
    </row>
    <row r="104" spans="3:9" ht="15">
      <c r="C104" s="33" t="s">
        <v>46</v>
      </c>
      <c r="D104" s="84">
        <f>'Finish Input'!G125</f>
        <v>0.35</v>
      </c>
      <c r="F104" s="33" t="s">
        <v>201</v>
      </c>
      <c r="I104" s="39"/>
    </row>
    <row r="105" spans="3:9" ht="15">
      <c r="C105" s="33" t="s">
        <v>162</v>
      </c>
      <c r="D105" s="99">
        <v>100</v>
      </c>
      <c r="F105" s="33" t="s">
        <v>202</v>
      </c>
      <c r="I105" s="39"/>
    </row>
    <row r="106" spans="3:9" ht="15">
      <c r="C106" s="33" t="s">
        <v>162</v>
      </c>
      <c r="D106" s="133">
        <f>'Finish Input'!G38</f>
        <v>120049.56310679612</v>
      </c>
      <c r="F106" s="269" t="s">
        <v>445</v>
      </c>
      <c r="I106" s="39"/>
    </row>
    <row r="107" spans="3:9" ht="15.75">
      <c r="C107" s="33" t="s">
        <v>54</v>
      </c>
      <c r="D107" s="91">
        <f>D104*D103/D105/D106</f>
        <v>0.031107984930172448</v>
      </c>
      <c r="F107" s="58" t="s">
        <v>446</v>
      </c>
      <c r="I107" s="39"/>
    </row>
    <row r="108" s="59" customFormat="1" ht="15">
      <c r="M108" s="380"/>
    </row>
    <row r="109" spans="1:8" ht="15.75">
      <c r="A109" s="59"/>
      <c r="B109" s="238">
        <v>2.09</v>
      </c>
      <c r="C109" s="58" t="s">
        <v>359</v>
      </c>
      <c r="D109" s="59"/>
      <c r="E109" s="59"/>
      <c r="F109" s="59"/>
      <c r="G109" s="59"/>
      <c r="H109" s="59"/>
    </row>
    <row r="110" spans="1:9" ht="15">
      <c r="A110" s="59"/>
      <c r="B110" s="59"/>
      <c r="C110" s="59" t="s">
        <v>46</v>
      </c>
      <c r="D110" s="271">
        <f>'Finish Input'!G127</f>
        <v>1500</v>
      </c>
      <c r="E110" s="59"/>
      <c r="F110" s="236" t="s">
        <v>360</v>
      </c>
      <c r="G110" s="59"/>
      <c r="H110" s="59"/>
      <c r="I110" s="39"/>
    </row>
    <row r="111" spans="1:9" ht="15">
      <c r="A111" s="59"/>
      <c r="B111" s="59"/>
      <c r="C111" s="59" t="s">
        <v>162</v>
      </c>
      <c r="D111" s="268">
        <f>'Finish Input'!G38</f>
        <v>120049.56310679612</v>
      </c>
      <c r="E111" s="269"/>
      <c r="F111" s="269" t="s">
        <v>445</v>
      </c>
      <c r="G111" s="269"/>
      <c r="H111" s="59"/>
      <c r="I111" s="39"/>
    </row>
    <row r="112" spans="1:13" s="36" customFormat="1" ht="15.75">
      <c r="A112" s="58"/>
      <c r="B112" s="58"/>
      <c r="C112" s="58" t="s">
        <v>54</v>
      </c>
      <c r="D112" s="237">
        <f>D110/D111</f>
        <v>0.012494839307874862</v>
      </c>
      <c r="E112" s="58"/>
      <c r="F112" s="58" t="s">
        <v>446</v>
      </c>
      <c r="G112" s="58"/>
      <c r="H112" s="58"/>
      <c r="I112" s="272"/>
      <c r="M112" s="373"/>
    </row>
    <row r="113" spans="1:13" s="36" customFormat="1" ht="15.75">
      <c r="A113" s="58"/>
      <c r="B113" s="58"/>
      <c r="C113" s="58"/>
      <c r="D113" s="237"/>
      <c r="E113" s="58"/>
      <c r="F113" s="58"/>
      <c r="G113" s="58"/>
      <c r="H113" s="58"/>
      <c r="I113" s="46"/>
      <c r="M113" s="373"/>
    </row>
    <row r="114" spans="2:4" ht="15.75">
      <c r="B114" s="37">
        <v>2.1</v>
      </c>
      <c r="C114" s="36" t="s">
        <v>147</v>
      </c>
      <c r="D114" s="36"/>
    </row>
    <row r="115" spans="3:9" ht="15">
      <c r="C115" s="33" t="s">
        <v>4</v>
      </c>
      <c r="D115" s="84">
        <f>'Finish Input'!G133</f>
        <v>500</v>
      </c>
      <c r="F115" s="236" t="s">
        <v>340</v>
      </c>
      <c r="I115" s="38"/>
    </row>
    <row r="116" spans="3:9" ht="15">
      <c r="C116" s="33" t="s">
        <v>162</v>
      </c>
      <c r="D116" s="133">
        <f>'Finish Input'!G38</f>
        <v>120049.56310679612</v>
      </c>
      <c r="E116" s="40"/>
      <c r="F116" s="269" t="s">
        <v>445</v>
      </c>
      <c r="I116" s="39"/>
    </row>
    <row r="117" spans="3:9" ht="15.75">
      <c r="C117" s="36" t="s">
        <v>54</v>
      </c>
      <c r="D117" s="91">
        <f>D115/D116</f>
        <v>0.004164946435958287</v>
      </c>
      <c r="F117" s="58" t="s">
        <v>446</v>
      </c>
      <c r="I117" s="39"/>
    </row>
    <row r="118" ht="15">
      <c r="H118" s="42"/>
    </row>
    <row r="119" spans="1:13" s="36" customFormat="1" ht="15.75">
      <c r="A119" s="59"/>
      <c r="B119" s="238">
        <v>2.11</v>
      </c>
      <c r="C119" s="58" t="s">
        <v>153</v>
      </c>
      <c r="D119" s="58"/>
      <c r="E119" s="58"/>
      <c r="F119" s="58"/>
      <c r="G119" s="59"/>
      <c r="H119" s="59"/>
      <c r="I119" s="59"/>
      <c r="M119" s="373"/>
    </row>
    <row r="120" spans="1:13" s="36" customFormat="1" ht="15.75">
      <c r="A120" s="236" t="s">
        <v>357</v>
      </c>
      <c r="B120" s="238"/>
      <c r="C120" s="58"/>
      <c r="D120" s="58"/>
      <c r="E120" s="58"/>
      <c r="F120" s="58"/>
      <c r="G120" s="59"/>
      <c r="H120" s="59"/>
      <c r="I120" s="59"/>
      <c r="M120" s="373"/>
    </row>
    <row r="121" spans="1:13" s="36" customFormat="1" ht="15.75">
      <c r="A121" s="59"/>
      <c r="B121" s="238"/>
      <c r="C121" s="58"/>
      <c r="D121" s="281">
        <f>'Finish Input'!G130</f>
        <v>4500</v>
      </c>
      <c r="E121" s="58"/>
      <c r="F121" s="236" t="s">
        <v>361</v>
      </c>
      <c r="G121" s="59"/>
      <c r="H121" s="59"/>
      <c r="I121" s="66"/>
      <c r="M121" s="373"/>
    </row>
    <row r="122" spans="1:13" s="36" customFormat="1" ht="15.75">
      <c r="A122" s="59"/>
      <c r="B122" s="59"/>
      <c r="C122" s="59" t="s">
        <v>162</v>
      </c>
      <c r="D122" s="281">
        <f>'Finish Input'!G38</f>
        <v>120049.56310679612</v>
      </c>
      <c r="E122" s="59"/>
      <c r="F122" s="269" t="s">
        <v>445</v>
      </c>
      <c r="G122" s="59"/>
      <c r="H122" s="59"/>
      <c r="I122" s="66"/>
      <c r="M122" s="373"/>
    </row>
    <row r="123" spans="1:13" s="161" customFormat="1" ht="15.75">
      <c r="A123" s="236"/>
      <c r="B123" s="236"/>
      <c r="C123" s="236" t="s">
        <v>54</v>
      </c>
      <c r="D123" s="270">
        <f>D121/D122</f>
        <v>0.03748451792362459</v>
      </c>
      <c r="E123" s="236"/>
      <c r="F123" s="58" t="s">
        <v>446</v>
      </c>
      <c r="G123" s="236"/>
      <c r="H123" s="282"/>
      <c r="I123" s="283"/>
      <c r="M123" s="381"/>
    </row>
    <row r="124" spans="1:13" s="36" customFormat="1" ht="15.75">
      <c r="A124" s="59"/>
      <c r="B124" s="59"/>
      <c r="C124" s="58"/>
      <c r="D124" s="237"/>
      <c r="E124" s="58"/>
      <c r="F124" s="269"/>
      <c r="G124" s="59"/>
      <c r="H124" s="284"/>
      <c r="I124" s="82"/>
      <c r="M124" s="373"/>
    </row>
    <row r="125" spans="1:13" s="36" customFormat="1" ht="15.75">
      <c r="A125" s="236" t="s">
        <v>362</v>
      </c>
      <c r="B125" s="238"/>
      <c r="C125" s="58"/>
      <c r="D125" s="58"/>
      <c r="E125" s="58"/>
      <c r="F125" s="58"/>
      <c r="G125" s="59"/>
      <c r="H125" s="59"/>
      <c r="I125" s="59"/>
      <c r="M125" s="373"/>
    </row>
    <row r="126" spans="1:13" s="36" customFormat="1" ht="15.75">
      <c r="A126" s="59"/>
      <c r="B126" s="238"/>
      <c r="C126" s="58"/>
      <c r="D126" s="281">
        <f>'Finish Input'!G131</f>
        <v>50</v>
      </c>
      <c r="E126" s="58"/>
      <c r="F126" s="236" t="s">
        <v>358</v>
      </c>
      <c r="G126" s="59"/>
      <c r="H126" s="59"/>
      <c r="I126" s="66"/>
      <c r="M126" s="373"/>
    </row>
    <row r="127" spans="1:13" s="36" customFormat="1" ht="15.75">
      <c r="A127" s="59"/>
      <c r="B127" s="238"/>
      <c r="C127" s="58"/>
      <c r="D127" s="285">
        <f>'Finish Input'!K28</f>
        <v>152.25506159999998</v>
      </c>
      <c r="E127" s="58"/>
      <c r="F127" s="236" t="s">
        <v>363</v>
      </c>
      <c r="G127" s="59"/>
      <c r="H127" s="59"/>
      <c r="I127" s="66"/>
      <c r="M127" s="373"/>
    </row>
    <row r="128" spans="1:13" s="36" customFormat="1" ht="15.75">
      <c r="A128" s="59"/>
      <c r="B128" s="59"/>
      <c r="C128" s="59" t="s">
        <v>162</v>
      </c>
      <c r="D128" s="281">
        <f>'Finish Input'!G38</f>
        <v>120049.56310679612</v>
      </c>
      <c r="E128" s="59"/>
      <c r="F128" s="269" t="s">
        <v>445</v>
      </c>
      <c r="G128" s="59"/>
      <c r="H128" s="59"/>
      <c r="I128" s="66"/>
      <c r="M128" s="373"/>
    </row>
    <row r="129" spans="1:13" s="59" customFormat="1" ht="15.75">
      <c r="A129" s="236"/>
      <c r="B129" s="236"/>
      <c r="C129" s="236" t="s">
        <v>54</v>
      </c>
      <c r="D129" s="270">
        <f>(D126*D127)/D128</f>
        <v>0.06341341761675294</v>
      </c>
      <c r="E129" s="236"/>
      <c r="F129" s="58" t="s">
        <v>446</v>
      </c>
      <c r="G129" s="236"/>
      <c r="H129" s="282"/>
      <c r="I129" s="283"/>
      <c r="M129" s="380"/>
    </row>
    <row r="130" spans="1:13" s="59" customFormat="1" ht="15">
      <c r="A130" s="236"/>
      <c r="B130" s="236"/>
      <c r="C130" s="236"/>
      <c r="D130" s="270"/>
      <c r="E130" s="236"/>
      <c r="F130" s="236"/>
      <c r="G130" s="236"/>
      <c r="H130" s="282"/>
      <c r="I130" s="135"/>
      <c r="M130" s="380"/>
    </row>
    <row r="131" spans="1:13" s="59" customFormat="1" ht="15.75">
      <c r="A131" s="236"/>
      <c r="B131" s="36" t="s">
        <v>108</v>
      </c>
      <c r="C131" s="58"/>
      <c r="D131" s="237">
        <f>D123+D129</f>
        <v>0.10089793554037753</v>
      </c>
      <c r="E131" s="58"/>
      <c r="F131" s="58" t="s">
        <v>446</v>
      </c>
      <c r="G131" s="58"/>
      <c r="H131" s="286"/>
      <c r="I131" s="287"/>
      <c r="M131" s="380"/>
    </row>
    <row r="132" spans="1:13" s="59" customFormat="1" ht="15">
      <c r="A132" s="236"/>
      <c r="B132" s="236"/>
      <c r="C132" s="236"/>
      <c r="D132" s="270"/>
      <c r="E132" s="236"/>
      <c r="F132" s="236"/>
      <c r="G132" s="236"/>
      <c r="H132" s="282"/>
      <c r="I132" s="135"/>
      <c r="M132" s="380"/>
    </row>
    <row r="133" spans="2:8" ht="15.75">
      <c r="B133" s="37">
        <v>2.12</v>
      </c>
      <c r="C133" s="36" t="s">
        <v>192</v>
      </c>
      <c r="H133" s="42"/>
    </row>
    <row r="134" spans="4:9" ht="15">
      <c r="D134" s="101">
        <f>'Finish Input'!G140</f>
        <v>7350</v>
      </c>
      <c r="F134" s="49" t="s">
        <v>252</v>
      </c>
      <c r="H134" s="42"/>
      <c r="I134" s="38"/>
    </row>
    <row r="135" spans="3:9" ht="15">
      <c r="C135" s="33" t="s">
        <v>162</v>
      </c>
      <c r="D135" s="133">
        <f>'Finish Input'!G38</f>
        <v>120049.56310679612</v>
      </c>
      <c r="E135" s="40"/>
      <c r="F135" s="269" t="s">
        <v>445</v>
      </c>
      <c r="H135" s="42"/>
      <c r="I135" s="38"/>
    </row>
    <row r="136" spans="3:9" ht="15.75">
      <c r="C136" s="161" t="s">
        <v>54</v>
      </c>
      <c r="D136" s="102">
        <f>D134/D135</f>
        <v>0.06122471260858682</v>
      </c>
      <c r="E136" s="161"/>
      <c r="F136" s="58" t="s">
        <v>446</v>
      </c>
      <c r="H136" s="42"/>
      <c r="I136" s="38"/>
    </row>
    <row r="137" spans="3:9" ht="15.75">
      <c r="C137" s="36"/>
      <c r="D137" s="91"/>
      <c r="F137" s="36"/>
      <c r="H137" s="42"/>
      <c r="I137" s="34"/>
    </row>
    <row r="138" spans="4:9" ht="15">
      <c r="D138" s="168">
        <f>'Finish Input'!G141</f>
        <v>4.35</v>
      </c>
      <c r="F138" s="49" t="s">
        <v>253</v>
      </c>
      <c r="H138" s="42"/>
      <c r="I138" s="38"/>
    </row>
    <row r="139" spans="3:9" ht="15">
      <c r="C139" s="33" t="s">
        <v>46</v>
      </c>
      <c r="D139" s="169">
        <f>'Finish Input'!E76</f>
        <v>10</v>
      </c>
      <c r="F139" s="49" t="s">
        <v>146</v>
      </c>
      <c r="H139" s="42"/>
      <c r="I139" s="38"/>
    </row>
    <row r="140" spans="3:9" ht="15">
      <c r="C140" s="33" t="s">
        <v>162</v>
      </c>
      <c r="D140" s="133">
        <f>'Finish Input'!G38</f>
        <v>120049.56310679612</v>
      </c>
      <c r="E140" s="40"/>
      <c r="F140" s="269" t="s">
        <v>445</v>
      </c>
      <c r="H140" s="42"/>
      <c r="I140" s="38"/>
    </row>
    <row r="141" spans="3:9" ht="15.75">
      <c r="C141" s="161" t="s">
        <v>54</v>
      </c>
      <c r="D141" s="102">
        <f>(D138*D139)/D140</f>
        <v>0.000362350339928371</v>
      </c>
      <c r="E141" s="161"/>
      <c r="F141" s="58" t="s">
        <v>446</v>
      </c>
      <c r="H141" s="42"/>
      <c r="I141" s="38"/>
    </row>
    <row r="142" spans="3:9" ht="15.75">
      <c r="C142" s="36"/>
      <c r="D142" s="91"/>
      <c r="F142" s="36"/>
      <c r="H142" s="42"/>
      <c r="I142" s="34"/>
    </row>
    <row r="143" spans="2:9" ht="15.75">
      <c r="B143" s="36" t="s">
        <v>108</v>
      </c>
      <c r="C143" s="36"/>
      <c r="D143" s="36">
        <f>D136+D141</f>
        <v>0.06158706294851519</v>
      </c>
      <c r="E143" s="36"/>
      <c r="F143" s="58" t="s">
        <v>446</v>
      </c>
      <c r="H143" s="42"/>
      <c r="I143" s="38"/>
    </row>
    <row r="144" spans="2:9" ht="15.75">
      <c r="B144" s="36"/>
      <c r="C144" s="36"/>
      <c r="D144" s="36"/>
      <c r="E144" s="36"/>
      <c r="F144" s="36"/>
      <c r="H144" s="42"/>
      <c r="I144" s="34"/>
    </row>
    <row r="145" spans="2:6" ht="15.75">
      <c r="B145" s="37">
        <v>2.13</v>
      </c>
      <c r="C145" s="36" t="s">
        <v>341</v>
      </c>
      <c r="D145" s="36"/>
      <c r="E145" s="36"/>
      <c r="F145" s="36"/>
    </row>
    <row r="146" spans="2:9" ht="15.75">
      <c r="B146" s="37"/>
      <c r="C146" s="36"/>
      <c r="D146" s="161">
        <f>'Finish Input'!F10</f>
        <v>0.39</v>
      </c>
      <c r="E146" s="36"/>
      <c r="F146" s="161" t="s">
        <v>365</v>
      </c>
      <c r="I146" s="39"/>
    </row>
    <row r="147" spans="2:9" ht="15.75">
      <c r="B147" s="37"/>
      <c r="C147" s="289" t="s">
        <v>46</v>
      </c>
      <c r="D147" s="288">
        <f>'Finish Input'!F16</f>
        <v>74200</v>
      </c>
      <c r="E147" s="36"/>
      <c r="F147" s="161" t="s">
        <v>366</v>
      </c>
      <c r="I147" s="39"/>
    </row>
    <row r="148" spans="1:14" ht="15">
      <c r="A148" s="59"/>
      <c r="B148" s="59"/>
      <c r="C148" s="289" t="s">
        <v>46</v>
      </c>
      <c r="D148" s="290">
        <f>'Finish Input'!G36</f>
        <v>412</v>
      </c>
      <c r="E148" s="59"/>
      <c r="F148" s="59" t="s">
        <v>226</v>
      </c>
      <c r="G148" s="59"/>
      <c r="H148" s="59"/>
      <c r="I148" s="39"/>
      <c r="J148" s="236"/>
      <c r="K148" s="59"/>
      <c r="L148" s="59"/>
      <c r="N148" s="59"/>
    </row>
    <row r="149" spans="1:9" ht="15">
      <c r="A149" s="59"/>
      <c r="B149" s="59"/>
      <c r="C149" s="289" t="s">
        <v>46</v>
      </c>
      <c r="D149" s="291">
        <f>'Finish Input'!$G$135</f>
        <v>5</v>
      </c>
      <c r="E149" s="59"/>
      <c r="F149" s="59" t="s">
        <v>166</v>
      </c>
      <c r="G149" s="59"/>
      <c r="H149" s="59"/>
      <c r="I149" s="39"/>
    </row>
    <row r="150" spans="1:9" ht="15">
      <c r="A150" s="59"/>
      <c r="B150" s="59"/>
      <c r="C150" s="59" t="s">
        <v>162</v>
      </c>
      <c r="D150" s="292">
        <v>365</v>
      </c>
      <c r="E150" s="269"/>
      <c r="F150" s="236" t="s">
        <v>81</v>
      </c>
      <c r="G150" s="269"/>
      <c r="H150" s="59"/>
      <c r="I150" s="38"/>
    </row>
    <row r="151" spans="1:9" ht="15">
      <c r="A151" s="59"/>
      <c r="B151" s="59"/>
      <c r="C151" s="59" t="s">
        <v>162</v>
      </c>
      <c r="D151" s="268">
        <f>'Finish Input'!G38</f>
        <v>120049.56310679612</v>
      </c>
      <c r="E151" s="269"/>
      <c r="F151" s="269" t="s">
        <v>445</v>
      </c>
      <c r="G151" s="269"/>
      <c r="H151" s="59"/>
      <c r="I151" s="38"/>
    </row>
    <row r="152" spans="1:9" ht="15.75">
      <c r="A152" s="59"/>
      <c r="B152" s="59"/>
      <c r="C152" s="58" t="s">
        <v>54</v>
      </c>
      <c r="D152" s="281">
        <f>(((D146*D147)*(D148/D150))*(D149/100))/D151</f>
        <v>0.013604490582210822</v>
      </c>
      <c r="E152" s="59"/>
      <c r="F152" s="58" t="s">
        <v>446</v>
      </c>
      <c r="G152" s="59"/>
      <c r="H152" s="59"/>
      <c r="I152" s="38"/>
    </row>
    <row r="153" spans="1:8" ht="15">
      <c r="A153" s="59"/>
      <c r="B153" s="59"/>
      <c r="C153" s="289"/>
      <c r="D153" s="293"/>
      <c r="E153" s="59"/>
      <c r="F153" s="59"/>
      <c r="G153" s="59"/>
      <c r="H153" s="59"/>
    </row>
    <row r="154" spans="1:13" ht="15">
      <c r="A154" s="59"/>
      <c r="B154" s="59"/>
      <c r="C154" s="59"/>
      <c r="D154" s="281">
        <f>'Steady State Summary'!E25</f>
        <v>2.9953620752159</v>
      </c>
      <c r="E154" s="59"/>
      <c r="F154" s="59" t="s">
        <v>203</v>
      </c>
      <c r="G154" s="59"/>
      <c r="H154" s="59"/>
      <c r="I154" s="38"/>
      <c r="M154" s="380">
        <f>'Ramp-up Cost Summary'!E25</f>
        <v>2.023111762388587</v>
      </c>
    </row>
    <row r="155" spans="1:13" ht="15">
      <c r="A155" s="59"/>
      <c r="B155" s="59"/>
      <c r="C155" s="59" t="s">
        <v>162</v>
      </c>
      <c r="D155" s="290">
        <v>2</v>
      </c>
      <c r="E155" s="59"/>
      <c r="F155" s="59" t="s">
        <v>204</v>
      </c>
      <c r="G155" s="269"/>
      <c r="H155" s="269"/>
      <c r="I155" s="39"/>
      <c r="M155" s="382">
        <v>2</v>
      </c>
    </row>
    <row r="156" spans="1:13" ht="15">
      <c r="A156" s="59"/>
      <c r="B156" s="59"/>
      <c r="C156" s="289" t="s">
        <v>46</v>
      </c>
      <c r="D156" s="290">
        <f>D148</f>
        <v>412</v>
      </c>
      <c r="E156" s="59"/>
      <c r="F156" s="59" t="s">
        <v>226</v>
      </c>
      <c r="G156" s="269"/>
      <c r="H156" s="269"/>
      <c r="I156" s="39"/>
      <c r="M156" s="382">
        <f>'Finish Input'!K21</f>
        <v>402</v>
      </c>
    </row>
    <row r="157" spans="1:13" ht="15">
      <c r="A157" s="59"/>
      <c r="B157" s="59"/>
      <c r="C157" s="59" t="s">
        <v>162</v>
      </c>
      <c r="D157" s="290">
        <v>365</v>
      </c>
      <c r="E157" s="59"/>
      <c r="F157" s="59" t="s">
        <v>81</v>
      </c>
      <c r="G157" s="269"/>
      <c r="H157" s="269"/>
      <c r="I157" s="38"/>
      <c r="M157" s="382">
        <v>365</v>
      </c>
    </row>
    <row r="158" spans="1:13" ht="15">
      <c r="A158" s="59"/>
      <c r="B158" s="59"/>
      <c r="C158" s="289" t="s">
        <v>46</v>
      </c>
      <c r="D158" s="294">
        <f>D149</f>
        <v>5</v>
      </c>
      <c r="E158" s="269"/>
      <c r="F158" s="269" t="s">
        <v>166</v>
      </c>
      <c r="G158" s="269"/>
      <c r="H158" s="269"/>
      <c r="I158" s="38"/>
      <c r="M158" s="383">
        <f>D149</f>
        <v>5</v>
      </c>
    </row>
    <row r="159" spans="1:13" ht="15.75">
      <c r="A159" s="59"/>
      <c r="B159" s="59"/>
      <c r="C159" s="59" t="s">
        <v>54</v>
      </c>
      <c r="D159" s="281">
        <f>((((D154-'Steady State Summary'!E13)/D155)*D156)*D158/100)/D157</f>
        <v>0.07850039482297297</v>
      </c>
      <c r="E159" s="59"/>
      <c r="F159" s="58" t="s">
        <v>446</v>
      </c>
      <c r="G159" s="59"/>
      <c r="H159" s="59"/>
      <c r="I159" s="45"/>
      <c r="M159" s="380">
        <f>(((('Ramp-up Cost Summary'!E25-'Ramp-up Cost Summary'!E10)/D155)*D156)*D158/100)/D157</f>
        <v>0.02650451958699725</v>
      </c>
    </row>
    <row r="160" spans="1:9" ht="15">
      <c r="A160" s="59"/>
      <c r="B160" s="59"/>
      <c r="C160" s="59"/>
      <c r="D160" s="59"/>
      <c r="E160" s="59"/>
      <c r="F160" s="59"/>
      <c r="G160" s="59"/>
      <c r="H160" s="59"/>
      <c r="I160" s="34"/>
    </row>
    <row r="161" spans="1:9" ht="15.75">
      <c r="A161" s="58"/>
      <c r="B161" s="59"/>
      <c r="C161" s="58" t="s">
        <v>54</v>
      </c>
      <c r="D161" s="237">
        <f>D152+D159</f>
        <v>0.09210488540518379</v>
      </c>
      <c r="E161" s="59"/>
      <c r="F161" s="58" t="s">
        <v>446</v>
      </c>
      <c r="G161" s="59"/>
      <c r="H161" s="59"/>
      <c r="I161" s="38"/>
    </row>
    <row r="162" spans="1:9" ht="15.75">
      <c r="A162" s="58"/>
      <c r="B162" s="59"/>
      <c r="C162" s="58"/>
      <c r="D162" s="237"/>
      <c r="E162" s="59"/>
      <c r="F162" s="58"/>
      <c r="G162" s="59"/>
      <c r="H162" s="59"/>
      <c r="I162" s="34"/>
    </row>
    <row r="163" spans="2:13" s="59" customFormat="1" ht="15.75">
      <c r="B163" s="238">
        <v>2.14</v>
      </c>
      <c r="C163" s="58" t="s">
        <v>404</v>
      </c>
      <c r="D163" s="58"/>
      <c r="E163" s="58"/>
      <c r="F163" s="58"/>
      <c r="M163" s="388"/>
    </row>
    <row r="164" spans="2:13" s="59" customFormat="1" ht="15.75">
      <c r="B164" s="238"/>
      <c r="C164" s="58"/>
      <c r="D164" s="236">
        <f>'Ramp-up Cost Summary'!F45</f>
        <v>420822.79478286055</v>
      </c>
      <c r="E164" s="58"/>
      <c r="F164" s="236" t="s">
        <v>408</v>
      </c>
      <c r="I164" s="65"/>
      <c r="M164" s="388"/>
    </row>
    <row r="165" spans="2:13" s="59" customFormat="1" ht="15.75">
      <c r="B165" s="238"/>
      <c r="C165" s="59" t="s">
        <v>162</v>
      </c>
      <c r="D165" s="385">
        <f>'Finish Input'!G137</f>
        <v>15</v>
      </c>
      <c r="E165" s="58"/>
      <c r="F165" s="236" t="s">
        <v>411</v>
      </c>
      <c r="I165" s="65"/>
      <c r="M165" s="388"/>
    </row>
    <row r="166" spans="2:13" s="59" customFormat="1" ht="15.75">
      <c r="B166" s="238"/>
      <c r="C166" s="59" t="s">
        <v>162</v>
      </c>
      <c r="D166" s="386">
        <f>'Finish Input'!C58</f>
        <v>120049.56310679612</v>
      </c>
      <c r="E166" s="58"/>
      <c r="F166" s="269" t="s">
        <v>445</v>
      </c>
      <c r="I166" s="65"/>
      <c r="M166" s="388"/>
    </row>
    <row r="167" spans="3:13" s="59" customFormat="1" ht="15.75">
      <c r="C167" s="58" t="s">
        <v>54</v>
      </c>
      <c r="D167" s="387">
        <f>(D164/D165)/D166</f>
        <v>0.23369391990678412</v>
      </c>
      <c r="F167" s="58" t="s">
        <v>446</v>
      </c>
      <c r="I167" s="65"/>
      <c r="J167" s="236"/>
      <c r="M167" s="388"/>
    </row>
    <row r="168" spans="1:9" ht="15.75">
      <c r="A168" s="36"/>
      <c r="C168" s="36"/>
      <c r="D168" s="91"/>
      <c r="F168" s="36"/>
      <c r="I168" s="34"/>
    </row>
    <row r="169" spans="1:9" ht="15.75">
      <c r="A169" s="36"/>
      <c r="C169" s="36"/>
      <c r="D169" s="91"/>
      <c r="F169" s="36"/>
      <c r="I169" s="34"/>
    </row>
    <row r="170" ht="15.75">
      <c r="A170" s="36" t="s">
        <v>182</v>
      </c>
    </row>
    <row r="171" ht="15.75">
      <c r="A171" s="36" t="s">
        <v>208</v>
      </c>
    </row>
    <row r="172" spans="1:7" ht="15.75">
      <c r="A172" s="36"/>
      <c r="D172" s="78" t="s">
        <v>170</v>
      </c>
      <c r="E172" s="46"/>
      <c r="F172" s="46"/>
      <c r="G172" s="43"/>
    </row>
    <row r="173" spans="4:7" ht="15.75">
      <c r="D173" s="36" t="s">
        <v>163</v>
      </c>
      <c r="E173" s="36"/>
      <c r="F173" s="36"/>
      <c r="G173" s="44"/>
    </row>
    <row r="174" ht="15">
      <c r="G174" s="33" t="s">
        <v>4</v>
      </c>
    </row>
    <row r="175" spans="2:3" ht="15.75">
      <c r="B175" s="37">
        <v>3.01</v>
      </c>
      <c r="C175" s="36" t="s">
        <v>324</v>
      </c>
    </row>
    <row r="176" spans="3:9" ht="15">
      <c r="C176" s="33" t="s">
        <v>4</v>
      </c>
      <c r="D176" s="101">
        <f>'Finish Input'!H66+'Finish Input'!H81</f>
        <v>620000</v>
      </c>
      <c r="F176" s="161" t="s">
        <v>367</v>
      </c>
      <c r="I176" s="38"/>
    </row>
    <row r="177" spans="4:9" ht="15">
      <c r="D177" s="41"/>
      <c r="F177" s="239" t="s">
        <v>325</v>
      </c>
      <c r="I177" s="45"/>
    </row>
    <row r="178" spans="3:9" ht="15">
      <c r="C178" s="33" t="s">
        <v>84</v>
      </c>
      <c r="D178" s="101">
        <f>D176*('Finish Input'!G98/100)</f>
        <v>62000</v>
      </c>
      <c r="F178" s="33" t="s">
        <v>205</v>
      </c>
      <c r="I178" s="38"/>
    </row>
    <row r="179" spans="3:11" ht="15">
      <c r="C179" s="33" t="s">
        <v>162</v>
      </c>
      <c r="D179" s="32">
        <f>'Finish Input'!G95</f>
        <v>25</v>
      </c>
      <c r="F179" s="33" t="s">
        <v>164</v>
      </c>
      <c r="I179" s="39"/>
      <c r="K179" s="81"/>
    </row>
    <row r="180" spans="3:9" ht="15">
      <c r="C180" s="33" t="s">
        <v>162</v>
      </c>
      <c r="D180" s="133">
        <f>'Finish Input'!G38</f>
        <v>120049.56310679612</v>
      </c>
      <c r="E180" s="40"/>
      <c r="F180" s="269" t="s">
        <v>445</v>
      </c>
      <c r="I180" s="39"/>
    </row>
    <row r="181" spans="3:9" ht="15.75">
      <c r="C181" s="36" t="s">
        <v>54</v>
      </c>
      <c r="D181" s="103">
        <f>((D176-D178)/D179)/D180</f>
        <v>0.18592320890117794</v>
      </c>
      <c r="F181" s="58" t="s">
        <v>446</v>
      </c>
      <c r="I181" s="39"/>
    </row>
    <row r="183" spans="2:3" ht="15.75">
      <c r="B183" s="37">
        <v>3.02</v>
      </c>
      <c r="C183" s="36" t="s">
        <v>326</v>
      </c>
    </row>
    <row r="184" spans="4:9" ht="15">
      <c r="D184" s="101">
        <f>'Finish Input'!H73</f>
        <v>1067000</v>
      </c>
      <c r="F184" s="33" t="s">
        <v>206</v>
      </c>
      <c r="I184" s="38"/>
    </row>
    <row r="185" spans="3:9" ht="15">
      <c r="C185" s="33" t="s">
        <v>84</v>
      </c>
      <c r="D185" s="101">
        <f>D184*('Finish Input'!G99/100)</f>
        <v>106700</v>
      </c>
      <c r="F185" s="33" t="s">
        <v>207</v>
      </c>
      <c r="I185" s="39"/>
    </row>
    <row r="186" spans="3:9" ht="15">
      <c r="C186" s="33" t="s">
        <v>162</v>
      </c>
      <c r="D186" s="32">
        <f>'Finish Input'!G96</f>
        <v>15</v>
      </c>
      <c r="F186" s="33" t="s">
        <v>164</v>
      </c>
      <c r="I186" s="39"/>
    </row>
    <row r="187" spans="3:9" ht="15">
      <c r="C187" s="33" t="s">
        <v>162</v>
      </c>
      <c r="D187" s="133">
        <f>'Finish Input'!G38</f>
        <v>120049.56310679612</v>
      </c>
      <c r="E187" s="40"/>
      <c r="F187" s="269" t="s">
        <v>445</v>
      </c>
      <c r="I187" s="39"/>
    </row>
    <row r="188" spans="3:9" ht="15.75">
      <c r="C188" s="36" t="s">
        <v>54</v>
      </c>
      <c r="D188" s="103">
        <f>((D184-D185)/D186)/D187</f>
        <v>0.5332797416600991</v>
      </c>
      <c r="F188" s="58" t="s">
        <v>446</v>
      </c>
      <c r="I188" s="39"/>
    </row>
    <row r="189" spans="3:9" ht="15.75">
      <c r="C189" s="36"/>
      <c r="D189" s="103"/>
      <c r="F189" s="36"/>
      <c r="I189" s="34"/>
    </row>
    <row r="190" spans="3:9" ht="15.75">
      <c r="C190" s="36"/>
      <c r="D190" s="103"/>
      <c r="F190" s="36"/>
      <c r="I190" s="34"/>
    </row>
    <row r="191" spans="1:4" ht="15.75">
      <c r="A191" s="36" t="s">
        <v>167</v>
      </c>
      <c r="D191" s="36"/>
    </row>
    <row r="193" spans="2:8" ht="15.75">
      <c r="B193" s="46"/>
      <c r="C193" s="78" t="s">
        <v>220</v>
      </c>
      <c r="D193" s="50"/>
      <c r="E193" s="78"/>
      <c r="F193" s="79"/>
      <c r="G193" s="78"/>
      <c r="H193" s="78"/>
    </row>
    <row r="194" spans="3:7" ht="15.75">
      <c r="C194" s="47"/>
      <c r="D194" s="94" t="s">
        <v>231</v>
      </c>
      <c r="G194" s="80"/>
    </row>
    <row r="195" ht="15">
      <c r="C195" s="33" t="s">
        <v>4</v>
      </c>
    </row>
    <row r="196" spans="2:3" ht="15.75">
      <c r="B196" s="37">
        <v>4.01</v>
      </c>
      <c r="C196" s="36" t="s">
        <v>249</v>
      </c>
    </row>
    <row r="197" spans="4:9" ht="15">
      <c r="D197" s="101">
        <f>'Finish Input'!H76</f>
        <v>20000</v>
      </c>
      <c r="F197" s="33" t="s">
        <v>209</v>
      </c>
      <c r="I197" s="38"/>
    </row>
    <row r="198" spans="3:9" ht="15">
      <c r="C198" s="33" t="s">
        <v>161</v>
      </c>
      <c r="D198" s="101">
        <f>'Finish Input'!H79</f>
        <v>30000</v>
      </c>
      <c r="F198" s="33" t="s">
        <v>235</v>
      </c>
      <c r="I198" s="38"/>
    </row>
    <row r="199" spans="3:9" ht="15">
      <c r="C199" s="33" t="s">
        <v>46</v>
      </c>
      <c r="D199" s="105">
        <f>'Finish Input'!G101</f>
        <v>2.75</v>
      </c>
      <c r="F199" s="33" t="s">
        <v>210</v>
      </c>
      <c r="I199" s="39"/>
    </row>
    <row r="200" spans="3:9" ht="15">
      <c r="C200" s="33" t="s">
        <v>162</v>
      </c>
      <c r="D200" s="133">
        <f>'Finish Input'!G38</f>
        <v>120049.56310679612</v>
      </c>
      <c r="E200" s="40"/>
      <c r="F200" s="269" t="s">
        <v>445</v>
      </c>
      <c r="I200" s="39"/>
    </row>
    <row r="201" spans="3:9" ht="15.75">
      <c r="C201" s="161" t="s">
        <v>54</v>
      </c>
      <c r="D201" s="167">
        <f>((D197+D198)*D199/100)/D200</f>
        <v>0.01145360269888529</v>
      </c>
      <c r="E201" s="161"/>
      <c r="F201" s="58" t="s">
        <v>446</v>
      </c>
      <c r="I201" s="39"/>
    </row>
    <row r="203" spans="2:4" ht="15.75">
      <c r="B203" s="37">
        <v>4.02</v>
      </c>
      <c r="C203" s="36" t="s">
        <v>327</v>
      </c>
      <c r="D203" s="36"/>
    </row>
    <row r="204" spans="4:9" ht="15">
      <c r="D204" s="101">
        <f>'Finish Input'!H66+'Finish Input'!H81</f>
        <v>620000</v>
      </c>
      <c r="F204" s="161" t="s">
        <v>367</v>
      </c>
      <c r="I204" s="38"/>
    </row>
    <row r="205" spans="4:9" ht="15">
      <c r="D205" s="41"/>
      <c r="F205" s="239" t="s">
        <v>329</v>
      </c>
      <c r="I205" s="45"/>
    </row>
    <row r="206" spans="3:9" ht="15">
      <c r="C206" s="33" t="s">
        <v>161</v>
      </c>
      <c r="D206" s="101">
        <f>D204*('Finish Input'!G98/100)</f>
        <v>62000</v>
      </c>
      <c r="F206" s="33" t="s">
        <v>205</v>
      </c>
      <c r="I206" s="38"/>
    </row>
    <row r="207" spans="3:9" ht="15">
      <c r="C207" s="33" t="s">
        <v>162</v>
      </c>
      <c r="D207" s="99">
        <v>2</v>
      </c>
      <c r="F207" s="33" t="s">
        <v>204</v>
      </c>
      <c r="I207" s="39"/>
    </row>
    <row r="208" spans="3:9" ht="15">
      <c r="C208" s="33" t="s">
        <v>46</v>
      </c>
      <c r="D208" s="105">
        <f>'Finish Input'!G101</f>
        <v>2.75</v>
      </c>
      <c r="F208" s="33" t="s">
        <v>210</v>
      </c>
      <c r="I208" s="39"/>
    </row>
    <row r="209" spans="3:9" ht="15">
      <c r="C209" s="33" t="s">
        <v>162</v>
      </c>
      <c r="D209" s="133">
        <f>'Finish Input'!G38</f>
        <v>120049.56310679612</v>
      </c>
      <c r="E209" s="40"/>
      <c r="F209" s="269" t="s">
        <v>445</v>
      </c>
      <c r="I209" s="39"/>
    </row>
    <row r="210" spans="3:9" ht="15.75">
      <c r="C210" s="36" t="s">
        <v>54</v>
      </c>
      <c r="D210" s="103">
        <f>(((D204+D206)/D207)*D208/100)/D209</f>
        <v>0.07811357040639767</v>
      </c>
      <c r="F210" s="58" t="s">
        <v>446</v>
      </c>
      <c r="I210" s="39"/>
    </row>
    <row r="211" ht="15">
      <c r="I211" s="45"/>
    </row>
    <row r="212" spans="2:9" ht="15.75">
      <c r="B212" s="37">
        <v>4.03</v>
      </c>
      <c r="C212" s="36" t="s">
        <v>328</v>
      </c>
      <c r="D212" s="36"/>
      <c r="I212" s="34"/>
    </row>
    <row r="213" spans="4:9" ht="15">
      <c r="D213" s="101">
        <f>'Finish Input'!H73</f>
        <v>1067000</v>
      </c>
      <c r="F213" s="33" t="s">
        <v>206</v>
      </c>
      <c r="I213" s="38"/>
    </row>
    <row r="214" spans="3:9" ht="15">
      <c r="C214" s="33" t="s">
        <v>161</v>
      </c>
      <c r="D214" s="101">
        <f>D213*('Finish Input'!G99/100)</f>
        <v>106700</v>
      </c>
      <c r="F214" s="33" t="s">
        <v>207</v>
      </c>
      <c r="I214" s="39"/>
    </row>
    <row r="215" spans="3:9" ht="15">
      <c r="C215" s="33" t="s">
        <v>162</v>
      </c>
      <c r="D215" s="99">
        <v>2</v>
      </c>
      <c r="F215" s="33" t="s">
        <v>204</v>
      </c>
      <c r="I215" s="39"/>
    </row>
    <row r="216" spans="3:9" ht="15">
      <c r="C216" s="33" t="s">
        <v>46</v>
      </c>
      <c r="D216" s="105">
        <f>D208</f>
        <v>2.75</v>
      </c>
      <c r="F216" s="33" t="s">
        <v>210</v>
      </c>
      <c r="I216" s="39"/>
    </row>
    <row r="217" spans="3:9" ht="15">
      <c r="C217" s="33" t="s">
        <v>162</v>
      </c>
      <c r="D217" s="133">
        <f>'Finish Input'!G38</f>
        <v>120049.56310679612</v>
      </c>
      <c r="F217" s="269" t="s">
        <v>445</v>
      </c>
      <c r="I217" s="39"/>
    </row>
    <row r="218" spans="3:9" ht="15.75">
      <c r="C218" s="36" t="s">
        <v>54</v>
      </c>
      <c r="D218" s="103">
        <f>(((D213+D214)/D215)*D216/100)/D217</f>
        <v>0.13443093487681665</v>
      </c>
      <c r="F218" s="58" t="s">
        <v>446</v>
      </c>
      <c r="I218" s="39"/>
    </row>
    <row r="219" spans="3:9" ht="15.75">
      <c r="C219" s="36"/>
      <c r="D219" s="103"/>
      <c r="F219" s="36"/>
      <c r="I219" s="34"/>
    </row>
    <row r="220" spans="3:9" ht="15.75">
      <c r="C220" s="36"/>
      <c r="D220" s="103"/>
      <c r="F220" s="36"/>
      <c r="I220" s="34"/>
    </row>
    <row r="221" spans="1:2" ht="15.75">
      <c r="A221" s="36" t="s">
        <v>219</v>
      </c>
      <c r="B221" s="40"/>
    </row>
    <row r="222" spans="4:9" ht="15">
      <c r="D222" s="90">
        <f>'Finish Input'!I53</f>
        <v>2080</v>
      </c>
      <c r="F222" s="33" t="s">
        <v>211</v>
      </c>
      <c r="G222" s="48"/>
      <c r="I222" s="38"/>
    </row>
    <row r="223" spans="3:9" ht="15">
      <c r="C223" s="33" t="s">
        <v>46</v>
      </c>
      <c r="D223" s="84">
        <f>'Finish Input'!G54</f>
        <v>20</v>
      </c>
      <c r="F223" s="33" t="s">
        <v>114</v>
      </c>
      <c r="I223" s="39"/>
    </row>
    <row r="224" spans="3:9" ht="15">
      <c r="C224" s="33" t="s">
        <v>162</v>
      </c>
      <c r="D224" s="133">
        <f>'Finish Input'!G38</f>
        <v>120049.56310679612</v>
      </c>
      <c r="F224" s="269" t="s">
        <v>445</v>
      </c>
      <c r="I224" s="39"/>
    </row>
    <row r="225" spans="3:9" ht="15.75">
      <c r="C225" s="36" t="s">
        <v>54</v>
      </c>
      <c r="D225" s="103">
        <f>(D222*D223)/D224</f>
        <v>0.3465235434717295</v>
      </c>
      <c r="F225" s="58" t="s">
        <v>446</v>
      </c>
      <c r="I225" s="39"/>
    </row>
    <row r="228" spans="1:13" s="49" customFormat="1" ht="15.75">
      <c r="A228" s="36" t="s">
        <v>247</v>
      </c>
      <c r="E228" t="s">
        <v>212</v>
      </c>
      <c r="F228"/>
      <c r="G228"/>
      <c r="M228" s="384"/>
    </row>
    <row r="229" spans="1:13" s="49" customFormat="1" ht="15">
      <c r="A229" s="49" t="s">
        <v>4</v>
      </c>
      <c r="E229" t="s">
        <v>213</v>
      </c>
      <c r="F229"/>
      <c r="G229"/>
      <c r="M229" s="384"/>
    </row>
    <row r="230" spans="1:13" s="49" customFormat="1" ht="15">
      <c r="A230" s="49" t="s">
        <v>4</v>
      </c>
      <c r="E230"/>
      <c r="F230" t="s">
        <v>21</v>
      </c>
      <c r="M230" s="384"/>
    </row>
    <row r="231" spans="1:13" s="49" customFormat="1" ht="15.75">
      <c r="A231" s="36" t="s">
        <v>372</v>
      </c>
      <c r="E231" s="298" t="s">
        <v>377</v>
      </c>
      <c r="F231"/>
      <c r="G231"/>
      <c r="M231" s="384"/>
    </row>
    <row r="232" spans="1:13" s="49" customFormat="1" ht="15">
      <c r="A232" s="49" t="s">
        <v>4</v>
      </c>
      <c r="E232"/>
      <c r="F232" t="s">
        <v>254</v>
      </c>
      <c r="M232" s="384"/>
    </row>
    <row r="233" spans="1:13" s="49" customFormat="1" ht="15">
      <c r="A233" s="49" t="s">
        <v>4</v>
      </c>
      <c r="M233" s="384"/>
    </row>
    <row r="234" spans="1:13" s="49" customFormat="1" ht="15.75">
      <c r="A234" s="36" t="s">
        <v>21</v>
      </c>
      <c r="D234" s="49" t="s">
        <v>191</v>
      </c>
      <c r="M234" s="384"/>
    </row>
    <row r="235" spans="1:13" s="49" customFormat="1" ht="15">
      <c r="A235" s="49" t="s">
        <v>4</v>
      </c>
      <c r="D235" s="49" t="s">
        <v>342</v>
      </c>
      <c r="M235" s="384"/>
    </row>
    <row r="236" spans="1:13" s="49" customFormat="1" ht="15">
      <c r="A236" s="49" t="s">
        <v>4</v>
      </c>
      <c r="D236" s="49" t="s">
        <v>370</v>
      </c>
      <c r="M236" s="384"/>
    </row>
    <row r="237" spans="1:13" s="49" customFormat="1" ht="15">
      <c r="A237" s="49" t="s">
        <v>4</v>
      </c>
      <c r="M237" s="384"/>
    </row>
  </sheetData>
  <sheetProtection password="C6A6" sheet="1"/>
  <mergeCells count="1">
    <mergeCell ref="A2:J2"/>
  </mergeCells>
  <printOptions/>
  <pageMargins left="1.141732283464567" right="0.7480314960629921" top="0.984251968503937" bottom="0.984251968503937" header="0.5118110236220472" footer="0.5118110236220472"/>
  <pageSetup firstPageNumber="8" useFirstPageNumber="1" fitToHeight="6" horizontalDpi="600" verticalDpi="600" orientation="portrait" scale="87" r:id="rId1"/>
  <headerFooter alignWithMargins="0">
    <oddHeader>&amp;L&amp;9Guidelines: Aquaculture Production Costs&amp;R&amp;10&amp;P</oddHeader>
    <oddFooter>&amp;R&amp;9Manitoba Agriculture, Farm Management</oddFooter>
  </headerFooter>
  <rowBreaks count="4" manualBreakCount="4">
    <brk id="48" max="9" man="1"/>
    <brk id="96" max="9" man="1"/>
    <brk id="144" max="9" man="1"/>
    <brk id="190" max="9" man="1"/>
  </rowBreaks>
  <ignoredErrors>
    <ignoredError sqref="D194" numberStoredAsText="1"/>
  </ignoredErrors>
</worksheet>
</file>

<file path=xl/worksheets/sheet8.xml><?xml version="1.0" encoding="utf-8"?>
<worksheet xmlns="http://schemas.openxmlformats.org/spreadsheetml/2006/main" xmlns:r="http://schemas.openxmlformats.org/officeDocument/2006/relationships">
  <dimension ref="A1:O37"/>
  <sheetViews>
    <sheetView workbookViewId="0" topLeftCell="A1">
      <selection activeCell="A1" sqref="A1:J1"/>
    </sheetView>
  </sheetViews>
  <sheetFormatPr defaultColWidth="8.88671875" defaultRowHeight="15"/>
  <cols>
    <col min="1" max="1" width="10.77734375" style="0" customWidth="1"/>
    <col min="6" max="7" width="8.77734375" style="0" customWidth="1"/>
  </cols>
  <sheetData>
    <row r="1" spans="1:10" ht="20.25">
      <c r="A1" s="468" t="s">
        <v>414</v>
      </c>
      <c r="B1" s="468"/>
      <c r="C1" s="468"/>
      <c r="D1" s="468"/>
      <c r="E1" s="468"/>
      <c r="F1" s="468"/>
      <c r="G1" s="468"/>
      <c r="H1" s="468"/>
      <c r="I1" s="468"/>
      <c r="J1" s="468"/>
    </row>
    <row r="2" spans="1:7" s="136" customFormat="1" ht="9" customHeight="1">
      <c r="A2" s="392"/>
      <c r="B2" s="390"/>
      <c r="C2" s="390"/>
      <c r="D2" s="390"/>
      <c r="E2" s="390"/>
      <c r="F2" s="390"/>
      <c r="G2" s="390"/>
    </row>
    <row r="3" spans="1:7" s="136" customFormat="1" ht="15" customHeight="1">
      <c r="A3" s="393" t="s">
        <v>415</v>
      </c>
      <c r="B3" s="390"/>
      <c r="C3" s="390"/>
      <c r="D3" s="390"/>
      <c r="E3" s="390"/>
      <c r="F3" s="390"/>
      <c r="G3" s="390"/>
    </row>
    <row r="4" spans="1:10" ht="15" customHeight="1">
      <c r="A4" s="467" t="s">
        <v>426</v>
      </c>
      <c r="B4" s="467"/>
      <c r="C4" s="467"/>
      <c r="D4" s="467"/>
      <c r="E4" s="467"/>
      <c r="F4" s="467"/>
      <c r="G4" s="467"/>
      <c r="H4" s="467"/>
      <c r="I4" s="467"/>
      <c r="J4" s="467"/>
    </row>
    <row r="5" spans="1:10" ht="15" customHeight="1">
      <c r="A5" s="467"/>
      <c r="B5" s="467"/>
      <c r="C5" s="467"/>
      <c r="D5" s="467"/>
      <c r="E5" s="467"/>
      <c r="F5" s="467"/>
      <c r="G5" s="467"/>
      <c r="H5" s="467"/>
      <c r="I5" s="467"/>
      <c r="J5" s="467"/>
    </row>
    <row r="6" spans="1:10" ht="15" customHeight="1">
      <c r="A6" s="467"/>
      <c r="B6" s="467"/>
      <c r="C6" s="467"/>
      <c r="D6" s="467"/>
      <c r="E6" s="467"/>
      <c r="F6" s="467"/>
      <c r="G6" s="467"/>
      <c r="H6" s="467"/>
      <c r="I6" s="467"/>
      <c r="J6" s="467"/>
    </row>
    <row r="7" spans="1:10" ht="15" customHeight="1">
      <c r="A7" s="467"/>
      <c r="B7" s="467"/>
      <c r="C7" s="467"/>
      <c r="D7" s="467"/>
      <c r="E7" s="467"/>
      <c r="F7" s="467"/>
      <c r="G7" s="467"/>
      <c r="H7" s="467"/>
      <c r="I7" s="467"/>
      <c r="J7" s="467"/>
    </row>
    <row r="8" spans="1:7" ht="6.75" customHeight="1">
      <c r="A8" s="23"/>
      <c r="B8" s="23"/>
      <c r="C8" s="23"/>
      <c r="D8" s="23"/>
      <c r="E8" s="23"/>
      <c r="F8" s="23"/>
      <c r="G8" s="23"/>
    </row>
    <row r="9" ht="15.75">
      <c r="A9" s="393" t="s">
        <v>416</v>
      </c>
    </row>
    <row r="10" spans="1:10" ht="15" customHeight="1">
      <c r="A10" s="467" t="s">
        <v>441</v>
      </c>
      <c r="B10" s="467"/>
      <c r="C10" s="467"/>
      <c r="D10" s="467"/>
      <c r="E10" s="467"/>
      <c r="F10" s="467"/>
      <c r="G10" s="467"/>
      <c r="H10" s="467"/>
      <c r="I10" s="467"/>
      <c r="J10" s="467"/>
    </row>
    <row r="11" spans="1:10" ht="15" customHeight="1">
      <c r="A11" s="467"/>
      <c r="B11" s="467"/>
      <c r="C11" s="467"/>
      <c r="D11" s="467"/>
      <c r="E11" s="467"/>
      <c r="F11" s="467"/>
      <c r="G11" s="467"/>
      <c r="H11" s="467"/>
      <c r="I11" s="467"/>
      <c r="J11" s="467"/>
    </row>
    <row r="12" spans="1:10" ht="15" customHeight="1">
      <c r="A12" s="467"/>
      <c r="B12" s="467"/>
      <c r="C12" s="467"/>
      <c r="D12" s="467"/>
      <c r="E12" s="467"/>
      <c r="F12" s="467"/>
      <c r="G12" s="467"/>
      <c r="H12" s="467"/>
      <c r="I12" s="467"/>
      <c r="J12" s="467"/>
    </row>
    <row r="13" spans="1:10" ht="15" customHeight="1">
      <c r="A13" s="467"/>
      <c r="B13" s="467"/>
      <c r="C13" s="467"/>
      <c r="D13" s="467"/>
      <c r="E13" s="467"/>
      <c r="F13" s="467"/>
      <c r="G13" s="467"/>
      <c r="H13" s="467"/>
      <c r="I13" s="467"/>
      <c r="J13" s="467"/>
    </row>
    <row r="14" spans="1:10" ht="15" customHeight="1">
      <c r="A14" s="467"/>
      <c r="B14" s="467"/>
      <c r="C14" s="467"/>
      <c r="D14" s="467"/>
      <c r="E14" s="467"/>
      <c r="F14" s="467"/>
      <c r="G14" s="467"/>
      <c r="H14" s="467"/>
      <c r="I14" s="467"/>
      <c r="J14" s="467"/>
    </row>
    <row r="15" ht="6.75" customHeight="1">
      <c r="A15" s="391"/>
    </row>
    <row r="16" ht="15.75">
      <c r="A16" s="393" t="s">
        <v>417</v>
      </c>
    </row>
    <row r="17" spans="1:10" ht="15" customHeight="1">
      <c r="A17" s="467" t="s">
        <v>418</v>
      </c>
      <c r="B17" s="467"/>
      <c r="C17" s="467"/>
      <c r="D17" s="467"/>
      <c r="E17" s="467"/>
      <c r="F17" s="467"/>
      <c r="G17" s="467"/>
      <c r="H17" s="467"/>
      <c r="I17" s="467"/>
      <c r="J17" s="467"/>
    </row>
    <row r="18" spans="1:10" ht="15" customHeight="1">
      <c r="A18" s="467"/>
      <c r="B18" s="467"/>
      <c r="C18" s="467"/>
      <c r="D18" s="467"/>
      <c r="E18" s="467"/>
      <c r="F18" s="467"/>
      <c r="G18" s="467"/>
      <c r="H18" s="467"/>
      <c r="I18" s="467"/>
      <c r="J18" s="467"/>
    </row>
    <row r="19" spans="1:10" ht="15" customHeight="1">
      <c r="A19" s="467"/>
      <c r="B19" s="467"/>
      <c r="C19" s="467"/>
      <c r="D19" s="467"/>
      <c r="E19" s="467"/>
      <c r="F19" s="467"/>
      <c r="G19" s="467"/>
      <c r="H19" s="467"/>
      <c r="I19" s="467"/>
      <c r="J19" s="467"/>
    </row>
    <row r="20" spans="1:10" ht="15" customHeight="1">
      <c r="A20" s="467"/>
      <c r="B20" s="467"/>
      <c r="C20" s="467"/>
      <c r="D20" s="467"/>
      <c r="E20" s="467"/>
      <c r="F20" s="467"/>
      <c r="G20" s="467"/>
      <c r="H20" s="467"/>
      <c r="I20" s="467"/>
      <c r="J20" s="467"/>
    </row>
    <row r="21" spans="1:10" ht="15" customHeight="1">
      <c r="A21" s="467"/>
      <c r="B21" s="467"/>
      <c r="C21" s="467"/>
      <c r="D21" s="467"/>
      <c r="E21" s="467"/>
      <c r="F21" s="467"/>
      <c r="G21" s="467"/>
      <c r="H21" s="467"/>
      <c r="I21" s="467"/>
      <c r="J21" s="467"/>
    </row>
    <row r="22" ht="6.75" customHeight="1">
      <c r="A22" s="391"/>
    </row>
    <row r="23" ht="15.75">
      <c r="A23" s="393" t="s">
        <v>419</v>
      </c>
    </row>
    <row r="24" spans="1:10" ht="15" customHeight="1">
      <c r="A24" s="467" t="s">
        <v>444</v>
      </c>
      <c r="B24" s="467"/>
      <c r="C24" s="467"/>
      <c r="D24" s="467"/>
      <c r="E24" s="467"/>
      <c r="F24" s="467"/>
      <c r="G24" s="467"/>
      <c r="H24" s="467"/>
      <c r="I24" s="467"/>
      <c r="J24" s="467"/>
    </row>
    <row r="25" spans="1:10" ht="15" customHeight="1">
      <c r="A25" s="467"/>
      <c r="B25" s="467"/>
      <c r="C25" s="467"/>
      <c r="D25" s="467"/>
      <c r="E25" s="467"/>
      <c r="F25" s="467"/>
      <c r="G25" s="467"/>
      <c r="H25" s="467"/>
      <c r="I25" s="467"/>
      <c r="J25" s="467"/>
    </row>
    <row r="26" spans="1:10" ht="15" customHeight="1">
      <c r="A26" s="467"/>
      <c r="B26" s="467"/>
      <c r="C26" s="467"/>
      <c r="D26" s="467"/>
      <c r="E26" s="467"/>
      <c r="F26" s="467"/>
      <c r="G26" s="467"/>
      <c r="H26" s="467"/>
      <c r="I26" s="467"/>
      <c r="J26" s="467"/>
    </row>
    <row r="27" spans="1:10" ht="15" customHeight="1">
      <c r="A27" s="467"/>
      <c r="B27" s="467"/>
      <c r="C27" s="467"/>
      <c r="D27" s="467"/>
      <c r="E27" s="467"/>
      <c r="F27" s="467"/>
      <c r="G27" s="467"/>
      <c r="H27" s="467"/>
      <c r="I27" s="467"/>
      <c r="J27" s="467"/>
    </row>
    <row r="28" ht="6.75" customHeight="1">
      <c r="A28" s="391"/>
    </row>
    <row r="29" ht="15.75">
      <c r="A29" s="393" t="s">
        <v>420</v>
      </c>
    </row>
    <row r="30" spans="1:10" ht="15" customHeight="1">
      <c r="A30" s="467" t="s">
        <v>427</v>
      </c>
      <c r="B30" s="467"/>
      <c r="C30" s="467"/>
      <c r="D30" s="467"/>
      <c r="E30" s="467"/>
      <c r="F30" s="467"/>
      <c r="G30" s="467"/>
      <c r="H30" s="467"/>
      <c r="I30" s="467"/>
      <c r="J30" s="467"/>
    </row>
    <row r="31" spans="1:10" ht="15" customHeight="1">
      <c r="A31" s="467"/>
      <c r="B31" s="467"/>
      <c r="C31" s="467"/>
      <c r="D31" s="467"/>
      <c r="E31" s="467"/>
      <c r="F31" s="467"/>
      <c r="G31" s="467"/>
      <c r="H31" s="467"/>
      <c r="I31" s="467"/>
      <c r="J31" s="467"/>
    </row>
    <row r="32" spans="1:10" ht="15">
      <c r="A32" s="467"/>
      <c r="B32" s="467"/>
      <c r="C32" s="467"/>
      <c r="D32" s="467"/>
      <c r="E32" s="467"/>
      <c r="F32" s="467"/>
      <c r="G32" s="467"/>
      <c r="H32" s="467"/>
      <c r="I32" s="467"/>
      <c r="J32" s="467"/>
    </row>
    <row r="33" spans="1:10" ht="15">
      <c r="A33" s="391"/>
      <c r="B33" s="391"/>
      <c r="C33" s="391"/>
      <c r="D33" s="391"/>
      <c r="E33" s="391"/>
      <c r="F33" s="391"/>
      <c r="G33" s="391"/>
      <c r="H33" s="391"/>
      <c r="I33" s="391"/>
      <c r="J33" s="391"/>
    </row>
    <row r="34" spans="1:15" s="418" customFormat="1" ht="18" customHeight="1">
      <c r="A34" s="413" t="s">
        <v>422</v>
      </c>
      <c r="B34" s="413"/>
      <c r="C34" s="413"/>
      <c r="D34" s="413"/>
      <c r="E34" s="414"/>
      <c r="F34" s="415"/>
      <c r="G34" s="415"/>
      <c r="H34" s="415"/>
      <c r="I34" s="416"/>
      <c r="J34" s="417" t="str">
        <f>Introduction!G12</f>
        <v>January, 2018</v>
      </c>
      <c r="M34" s="419"/>
      <c r="N34" s="420"/>
      <c r="O34" s="420"/>
    </row>
    <row r="35" spans="1:15" s="418" customFormat="1" ht="21" customHeight="1">
      <c r="A35" s="421" t="s">
        <v>423</v>
      </c>
      <c r="B35" s="422"/>
      <c r="C35" s="423"/>
      <c r="D35" s="423"/>
      <c r="E35" s="423"/>
      <c r="F35" s="424"/>
      <c r="M35" s="419"/>
      <c r="N35" s="420"/>
      <c r="O35" s="420"/>
    </row>
    <row r="36" spans="1:6" s="425" customFormat="1" ht="15.75">
      <c r="A36" s="428" t="s">
        <v>428</v>
      </c>
      <c r="F36" s="429" t="s">
        <v>424</v>
      </c>
    </row>
    <row r="37" spans="1:6" s="427" customFormat="1" ht="14.25">
      <c r="A37" s="426" t="s">
        <v>442</v>
      </c>
      <c r="F37" s="426" t="s">
        <v>425</v>
      </c>
    </row>
  </sheetData>
  <sheetProtection password="C6A6" sheet="1"/>
  <mergeCells count="6">
    <mergeCell ref="A24:J27"/>
    <mergeCell ref="A30:J32"/>
    <mergeCell ref="A1:J1"/>
    <mergeCell ref="A4:J7"/>
    <mergeCell ref="A10:J14"/>
    <mergeCell ref="A17:J21"/>
  </mergeCells>
  <hyperlinks>
    <hyperlink ref="A36" r:id="rId1" display="Jeff Eastman"/>
    <hyperlink ref="F36" r:id="rId2" display="Darren Bond"/>
  </hyperlinks>
  <printOptions/>
  <pageMargins left="0.7086614173228347" right="0.7086614173228347" top="0.7480314960629921" bottom="0.7480314960629921" header="0.31496062992125984" footer="0.31496062992125984"/>
  <pageSetup firstPageNumber="13" useFirstPageNumber="1" horizontalDpi="600" verticalDpi="600" orientation="portrait" scale="83" r:id="rId4"/>
  <headerFooter>
    <oddHeader>&amp;L&amp;10Guidelines: Aquaculture Production Costs&amp;R&amp;10&amp;P</oddHeader>
    <oddFooter>&amp;R&amp;10Manitoba Agriculture, Farm Management</oddFooter>
  </headerFooter>
  <drawing r:id="rId3"/>
</worksheet>
</file>

<file path=xl/worksheets/sheet9.xml><?xml version="1.0" encoding="utf-8"?>
<worksheet xmlns="http://schemas.openxmlformats.org/spreadsheetml/2006/main" xmlns:r="http://schemas.openxmlformats.org/officeDocument/2006/relationships">
  <sheetPr codeName="Sheet11"/>
  <dimension ref="B3:K60"/>
  <sheetViews>
    <sheetView zoomScalePageLayoutView="0" workbookViewId="0" topLeftCell="D4">
      <selection activeCell="F13" sqref="F13"/>
    </sheetView>
  </sheetViews>
  <sheetFormatPr defaultColWidth="11.4453125" defaultRowHeight="15"/>
  <sheetData>
    <row r="3" spans="2:9" ht="15">
      <c r="B3" t="s">
        <v>6</v>
      </c>
      <c r="I3" s="1"/>
    </row>
    <row r="4" spans="2:11" ht="15">
      <c r="B4" s="1" t="s">
        <v>4</v>
      </c>
      <c r="C4" s="1" t="s">
        <v>4</v>
      </c>
      <c r="D4" t="s">
        <v>8</v>
      </c>
      <c r="E4" s="1"/>
      <c r="F4" s="1"/>
      <c r="K4" s="1"/>
    </row>
    <row r="5" spans="2:11" ht="15">
      <c r="B5" s="1" t="s">
        <v>4</v>
      </c>
      <c r="C5" s="1" t="s">
        <v>4</v>
      </c>
      <c r="D5" s="1" t="s">
        <v>4</v>
      </c>
      <c r="E5" s="1"/>
      <c r="F5" s="1" t="s">
        <v>4</v>
      </c>
      <c r="G5" s="1" t="s">
        <v>4</v>
      </c>
      <c r="H5" s="1" t="s">
        <v>4</v>
      </c>
      <c r="I5" s="1" t="s">
        <v>4</v>
      </c>
      <c r="J5" s="1" t="s">
        <v>4</v>
      </c>
      <c r="K5" s="1" t="s">
        <v>4</v>
      </c>
    </row>
    <row r="6" ht="15">
      <c r="B6" t="s">
        <v>6</v>
      </c>
    </row>
    <row r="7" spans="2:11" ht="15">
      <c r="B7" t="s">
        <v>13</v>
      </c>
      <c r="C7" s="1"/>
      <c r="D7" s="1"/>
      <c r="E7" s="1"/>
      <c r="F7" s="1"/>
      <c r="G7" s="1" t="s">
        <v>4</v>
      </c>
      <c r="H7" s="1" t="s">
        <v>4</v>
      </c>
      <c r="I7" s="8" t="s">
        <v>14</v>
      </c>
      <c r="J7" s="8" t="s">
        <v>15</v>
      </c>
      <c r="K7" s="8" t="s">
        <v>16</v>
      </c>
    </row>
    <row r="8" spans="2:9" ht="15">
      <c r="B8" s="1" t="s">
        <v>4</v>
      </c>
      <c r="C8" t="s">
        <v>17</v>
      </c>
      <c r="D8" t="s">
        <v>18</v>
      </c>
      <c r="E8" s="1"/>
      <c r="F8" s="1"/>
      <c r="G8" s="1"/>
      <c r="H8" s="1" t="s">
        <v>4</v>
      </c>
      <c r="I8" t="s">
        <v>20</v>
      </c>
    </row>
    <row r="9" spans="2:11" ht="15">
      <c r="B9" s="1" t="s">
        <v>4</v>
      </c>
      <c r="C9" s="1" t="s">
        <v>4</v>
      </c>
      <c r="D9" t="s">
        <v>22</v>
      </c>
      <c r="E9" t="s">
        <v>24</v>
      </c>
      <c r="F9" s="1"/>
      <c r="G9" s="1"/>
      <c r="H9" s="1"/>
      <c r="I9" s="3">
        <f>J9*'Finish Input'!G34</f>
        <v>4742.780000000001</v>
      </c>
      <c r="J9" s="4">
        <f>ROUND('Finish Input'!G43*SUM('Finish Input'!H43:I43)/1000,2)</f>
        <v>0.07</v>
      </c>
      <c r="K9" s="4">
        <f>J9*'Finish Input'!G34/'Finish Input'!K27</f>
        <v>0.05960093377010155</v>
      </c>
    </row>
    <row r="10" spans="4:11" ht="15">
      <c r="D10" t="s">
        <v>26</v>
      </c>
      <c r="E10" t="s">
        <v>28</v>
      </c>
      <c r="F10" s="1"/>
      <c r="G10" s="1"/>
      <c r="H10" s="1"/>
      <c r="I10" s="3">
        <f>J10*'Finish Input'!G34</f>
        <v>24391.44</v>
      </c>
      <c r="J10" s="4">
        <f>ROUND('Finish Input'!G44*SUM('Finish Input'!H44:I44)/1000,2)</f>
        <v>0.36</v>
      </c>
      <c r="K10" s="4">
        <f>J10*'Finish Input'!G34/'Finish Input'!K27</f>
        <v>0.3065190879605222</v>
      </c>
    </row>
    <row r="11" spans="2:11" ht="15">
      <c r="B11" s="1" t="s">
        <v>4</v>
      </c>
      <c r="C11" s="1" t="s">
        <v>4</v>
      </c>
      <c r="D11" t="s">
        <v>26</v>
      </c>
      <c r="E11" t="s">
        <v>32</v>
      </c>
      <c r="F11" s="1"/>
      <c r="G11" s="1"/>
      <c r="H11" s="1"/>
      <c r="I11" s="3">
        <f>J11*'Finish Input'!G34</f>
        <v>142283.4</v>
      </c>
      <c r="J11" s="4">
        <f>ROUND('Finish Input'!G47*SUM('Finish Input'!H47:I47)/1000,2)</f>
        <v>2.1</v>
      </c>
      <c r="K11" s="4">
        <f>J11*'Finish Input'!G34/'Finish Input'!K27</f>
        <v>1.788028013103046</v>
      </c>
    </row>
    <row r="12" spans="2:11" ht="15">
      <c r="B12" s="1" t="s">
        <v>4</v>
      </c>
      <c r="C12" s="1" t="s">
        <v>4</v>
      </c>
      <c r="D12" s="1" t="s">
        <v>4</v>
      </c>
      <c r="E12" s="1" t="s">
        <v>4</v>
      </c>
      <c r="F12" s="1"/>
      <c r="G12" s="1"/>
      <c r="H12" s="1"/>
      <c r="I12" s="3" t="s">
        <v>37</v>
      </c>
      <c r="J12" s="4"/>
      <c r="K12" s="4"/>
    </row>
    <row r="13" spans="2:11" ht="15">
      <c r="B13" s="1" t="s">
        <v>4</v>
      </c>
      <c r="C13" s="1" t="s">
        <v>4</v>
      </c>
      <c r="D13" t="s">
        <v>40</v>
      </c>
      <c r="E13" s="1"/>
      <c r="F13" s="1"/>
      <c r="G13" s="1"/>
      <c r="H13" s="1"/>
      <c r="I13" s="3">
        <f>SUM(I9:I12)</f>
        <v>171417.62</v>
      </c>
      <c r="J13" s="4">
        <f>SUM(J9:J12)</f>
        <v>2.5300000000000002</v>
      </c>
      <c r="K13" s="4">
        <f>SUM(K9:K12)</f>
        <v>2.1541480348336695</v>
      </c>
    </row>
    <row r="14" spans="2:11" ht="15">
      <c r="B14" s="1" t="s">
        <v>4</v>
      </c>
      <c r="C14" s="1" t="s">
        <v>4</v>
      </c>
      <c r="D14" s="1" t="s">
        <v>4</v>
      </c>
      <c r="E14" s="1" t="s">
        <v>4</v>
      </c>
      <c r="F14" s="1"/>
      <c r="G14" s="1"/>
      <c r="H14" s="1"/>
      <c r="I14" s="6" t="s">
        <v>4</v>
      </c>
      <c r="J14" s="7" t="s">
        <v>4</v>
      </c>
      <c r="K14" s="7" t="s">
        <v>4</v>
      </c>
    </row>
    <row r="15" spans="2:11" ht="15">
      <c r="B15" s="1" t="s">
        <v>4</v>
      </c>
      <c r="C15" t="s">
        <v>25</v>
      </c>
      <c r="D15" t="s">
        <v>42</v>
      </c>
      <c r="E15" s="1"/>
      <c r="F15" s="1"/>
      <c r="G15" s="1"/>
      <c r="H15" s="1"/>
      <c r="I15" s="6" t="s">
        <v>4</v>
      </c>
      <c r="J15" s="7" t="s">
        <v>4</v>
      </c>
      <c r="K15" s="7" t="s">
        <v>4</v>
      </c>
    </row>
    <row r="16" spans="2:11" ht="15">
      <c r="B16" s="1" t="s">
        <v>4</v>
      </c>
      <c r="C16" s="1" t="s">
        <v>4</v>
      </c>
      <c r="D16" t="s">
        <v>44</v>
      </c>
      <c r="E16" t="s">
        <v>45</v>
      </c>
      <c r="F16" s="1"/>
      <c r="G16" s="1"/>
      <c r="H16" s="1"/>
      <c r="I16" s="3" t="e">
        <f>J16*'Finish Input'!G34</f>
        <v>#REF!</v>
      </c>
      <c r="J16" s="4" t="e">
        <f>'Finish Input'!#REF!*'Finish Input'!G32/'Finish Input'!G34</f>
        <v>#REF!</v>
      </c>
      <c r="K16" s="4" t="e">
        <f>J16*'Finish Input'!G34/'Finish Input'!K27</f>
        <v>#REF!</v>
      </c>
    </row>
    <row r="17" spans="2:11" ht="15">
      <c r="B17" s="1" t="s">
        <v>4</v>
      </c>
      <c r="C17" s="1" t="s">
        <v>4</v>
      </c>
      <c r="D17" t="s">
        <v>50</v>
      </c>
      <c r="E17" t="s">
        <v>51</v>
      </c>
      <c r="F17" s="1"/>
      <c r="G17" s="1"/>
      <c r="H17" s="1"/>
      <c r="I17" s="3">
        <f>J17*'Finish Input'!G34</f>
        <v>108517516.56</v>
      </c>
      <c r="J17" s="4">
        <f>ROUND('Finish Input'!G107*'Finish Input'!G16/'Finish Input'!G34,2)</f>
        <v>1601.64</v>
      </c>
      <c r="K17" s="4">
        <f>J17*'Finish Input'!G34/'Finish Input'!K27</f>
        <v>1363.7034223363632</v>
      </c>
    </row>
    <row r="18" spans="2:11" ht="15">
      <c r="B18" s="1" t="s">
        <v>4</v>
      </c>
      <c r="C18" s="1" t="s">
        <v>4</v>
      </c>
      <c r="D18" t="s">
        <v>52</v>
      </c>
      <c r="E18" t="s">
        <v>53</v>
      </c>
      <c r="F18" s="1"/>
      <c r="G18" s="1"/>
      <c r="H18" s="1"/>
      <c r="I18" s="3">
        <f>J18*'Finish Input'!G34</f>
        <v>11518.18</v>
      </c>
      <c r="J18" s="4">
        <f>ROUND('Finish Input'!G109*'Finish Input'!H73/'Finish Input'!G34/100,2)</f>
        <v>0.17</v>
      </c>
      <c r="K18" s="4">
        <f>J18*'Finish Input'!G34/'Finish Input'!K27</f>
        <v>0.1447451248702466</v>
      </c>
    </row>
    <row r="19" spans="2:11" ht="15">
      <c r="B19" s="1" t="s">
        <v>4</v>
      </c>
      <c r="C19" s="1" t="s">
        <v>4</v>
      </c>
      <c r="D19" t="s">
        <v>189</v>
      </c>
      <c r="E19" t="s">
        <v>57</v>
      </c>
      <c r="F19" s="1"/>
      <c r="G19" s="1"/>
      <c r="H19" s="1"/>
      <c r="I19" s="3" t="e">
        <f>J19*'Finish Input'!G34</f>
        <v>#REF!</v>
      </c>
      <c r="J19" s="4" t="e">
        <f>ROUND('Finish Input'!#REF!*'Finish Input'!#REF!*'Finish Input'!K27/'Finish Input'!G34,2)</f>
        <v>#REF!</v>
      </c>
      <c r="K19" s="4" t="e">
        <f>J19*'Finish Input'!G34/'Finish Input'!K27</f>
        <v>#REF!</v>
      </c>
    </row>
    <row r="20" spans="2:11" ht="15">
      <c r="B20" s="1" t="s">
        <v>4</v>
      </c>
      <c r="C20" s="1" t="s">
        <v>4</v>
      </c>
      <c r="D20" t="s">
        <v>61</v>
      </c>
      <c r="E20" t="s">
        <v>62</v>
      </c>
      <c r="F20" s="1"/>
      <c r="G20" s="1"/>
      <c r="H20" s="1"/>
      <c r="I20" s="3">
        <f>J20*'Finish Input'!G34</f>
        <v>2107.690410958904</v>
      </c>
      <c r="J20" s="4">
        <f>'Finish-Worksheet'!D107</f>
        <v>0.031107984930172448</v>
      </c>
      <c r="K20" s="4">
        <f>J20*'Finish Input'!G34/'Finish Input'!K27</f>
        <v>0.026486642136350352</v>
      </c>
    </row>
    <row r="21" spans="2:11" ht="15">
      <c r="B21" s="1" t="s">
        <v>4</v>
      </c>
      <c r="C21" s="1" t="s">
        <v>4</v>
      </c>
      <c r="D21" t="s">
        <v>65</v>
      </c>
      <c r="E21" t="s">
        <v>66</v>
      </c>
      <c r="F21" s="1"/>
      <c r="G21" s="1"/>
      <c r="H21" s="1"/>
      <c r="I21" s="3">
        <f>J21*'Finish Input'!G34</f>
        <v>677.54</v>
      </c>
      <c r="J21" s="4">
        <f>ROUND('Finish-Worksheet'!D112,2)</f>
        <v>0.01</v>
      </c>
      <c r="K21" s="4">
        <f>J21*'Finish Input'!G34/'Finish Input'!K27</f>
        <v>0.008514419110014505</v>
      </c>
    </row>
    <row r="22" spans="2:11" ht="15">
      <c r="B22" s="1" t="s">
        <v>4</v>
      </c>
      <c r="C22" s="1" t="s">
        <v>4</v>
      </c>
      <c r="D22" t="s">
        <v>67</v>
      </c>
      <c r="E22" t="s">
        <v>68</v>
      </c>
      <c r="F22" s="1"/>
      <c r="G22" s="1"/>
      <c r="H22" s="1"/>
      <c r="I22" s="3">
        <f>J22*'Finish Input'!G34</f>
        <v>39787858.96</v>
      </c>
      <c r="J22" s="4">
        <f>ROUND('Finish Input'!G133*'Finish Input'!K27/'Finish Input'!G34,2)</f>
        <v>587.24</v>
      </c>
      <c r="K22" s="4">
        <f>J22*'Finish Input'!G34/'Finish Input'!K27</f>
        <v>500.0007478164918</v>
      </c>
    </row>
    <row r="23" spans="2:11" ht="15">
      <c r="B23" s="1" t="s">
        <v>4</v>
      </c>
      <c r="C23" s="1" t="s">
        <v>4</v>
      </c>
      <c r="D23" t="s">
        <v>69</v>
      </c>
      <c r="E23" t="s">
        <v>70</v>
      </c>
      <c r="F23" s="1"/>
      <c r="G23" s="1"/>
      <c r="H23" s="1"/>
      <c r="I23" s="3">
        <f>J23*'Finish Input'!G34</f>
        <v>3387700</v>
      </c>
      <c r="J23" s="4">
        <f>ROUND('Finish Input'!G131,2)</f>
        <v>50</v>
      </c>
      <c r="K23" s="4">
        <f>J23*'Finish Input'!G34/'Finish Input'!K27</f>
        <v>42.572095550072525</v>
      </c>
    </row>
    <row r="24" spans="2:11" ht="15">
      <c r="B24" s="1" t="s">
        <v>4</v>
      </c>
      <c r="C24" s="1" t="s">
        <v>4</v>
      </c>
      <c r="D24" t="s">
        <v>72</v>
      </c>
      <c r="E24" t="s">
        <v>73</v>
      </c>
      <c r="F24" s="1"/>
      <c r="G24" s="1"/>
      <c r="H24" s="1"/>
      <c r="I24" s="3" t="e">
        <f>'Finish Input'!#REF!</f>
        <v>#REF!</v>
      </c>
      <c r="J24" s="4" t="e">
        <f>I24/'Finish Input'!G34</f>
        <v>#REF!</v>
      </c>
      <c r="K24" s="4" t="e">
        <f>J24*'Finish Input'!G34/'Finish Input'!K27</f>
        <v>#REF!</v>
      </c>
    </row>
    <row r="25" spans="2:11" ht="15">
      <c r="B25" s="1" t="s">
        <v>4</v>
      </c>
      <c r="C25" s="1" t="s">
        <v>4</v>
      </c>
      <c r="D25" s="1" t="s">
        <v>4</v>
      </c>
      <c r="E25" s="1" t="s">
        <v>4</v>
      </c>
      <c r="F25" s="1"/>
      <c r="G25" s="1"/>
      <c r="H25" s="1"/>
      <c r="I25" s="3" t="s">
        <v>75</v>
      </c>
      <c r="J25" s="4"/>
      <c r="K25" s="4"/>
    </row>
    <row r="26" spans="2:11" ht="15">
      <c r="B26" s="1" t="s">
        <v>4</v>
      </c>
      <c r="C26" s="1" t="s">
        <v>4</v>
      </c>
      <c r="D26" t="s">
        <v>77</v>
      </c>
      <c r="E26" s="1"/>
      <c r="F26" s="1"/>
      <c r="G26" s="1"/>
      <c r="H26" s="1"/>
      <c r="I26" s="3" t="e">
        <f>J26*'Finish Input'!G34</f>
        <v>#REF!</v>
      </c>
      <c r="J26" s="4" t="e">
        <f>J13+SUM(J16:J25)</f>
        <v>#REF!</v>
      </c>
      <c r="K26" s="4" t="e">
        <f>J26*'Finish Input'!G34/'Finish Input'!K27</f>
        <v>#REF!</v>
      </c>
    </row>
    <row r="27" spans="2:11" ht="15">
      <c r="B27" s="1" t="s">
        <v>4</v>
      </c>
      <c r="C27" s="1" t="s">
        <v>4</v>
      </c>
      <c r="D27" t="s">
        <v>79</v>
      </c>
      <c r="E27" t="s">
        <v>80</v>
      </c>
      <c r="F27" s="1"/>
      <c r="G27" s="1"/>
      <c r="H27" s="1"/>
      <c r="I27" s="3" t="e">
        <f>J27*'Finish Input'!G34</f>
        <v>#REF!</v>
      </c>
      <c r="J27" s="4" t="e">
        <f>ROUND((J16*'Finish Input'!G135/100*'Finish Input'!K21/365)+((J26-J16)*'Finish Input'!G135/100*'Finish Input'!K21/365),2)</f>
        <v>#REF!</v>
      </c>
      <c r="K27" s="4" t="e">
        <f>J27*'Finish Input'!G34/'Finish Input'!K27</f>
        <v>#REF!</v>
      </c>
    </row>
    <row r="28" spans="2:11" ht="15">
      <c r="B28" s="1" t="s">
        <v>4</v>
      </c>
      <c r="C28" s="1" t="s">
        <v>4</v>
      </c>
      <c r="D28" s="1" t="s">
        <v>4</v>
      </c>
      <c r="E28" s="1" t="s">
        <v>4</v>
      </c>
      <c r="F28" s="1"/>
      <c r="G28" s="1"/>
      <c r="H28" s="1" t="s">
        <v>4</v>
      </c>
      <c r="I28" s="3" t="s">
        <v>75</v>
      </c>
      <c r="J28" s="4"/>
      <c r="K28" s="4"/>
    </row>
    <row r="29" spans="2:11" ht="15">
      <c r="B29" s="1" t="s">
        <v>4</v>
      </c>
      <c r="C29" t="s">
        <v>86</v>
      </c>
      <c r="D29" s="1"/>
      <c r="E29" s="1"/>
      <c r="F29" s="1"/>
      <c r="G29" s="1"/>
      <c r="H29" s="1" t="s">
        <v>4</v>
      </c>
      <c r="I29" s="3" t="e">
        <f>J29*'Finish Input'!G34</f>
        <v>#REF!</v>
      </c>
      <c r="J29" s="4" t="e">
        <f>J26+J27</f>
        <v>#REF!</v>
      </c>
      <c r="K29" s="4" t="e">
        <f>J29*'Finish Input'!G34/'Finish Input'!K27</f>
        <v>#REF!</v>
      </c>
    </row>
    <row r="30" spans="2:11" ht="15">
      <c r="B30" s="1" t="s">
        <v>4</v>
      </c>
      <c r="C30" s="1" t="s">
        <v>4</v>
      </c>
      <c r="D30" s="1" t="s">
        <v>4</v>
      </c>
      <c r="E30" s="1" t="s">
        <v>4</v>
      </c>
      <c r="F30" s="1"/>
      <c r="G30" s="1"/>
      <c r="H30" s="1" t="s">
        <v>4</v>
      </c>
      <c r="I30" s="6" t="s">
        <v>4</v>
      </c>
      <c r="J30" s="7" t="s">
        <v>4</v>
      </c>
      <c r="K30" s="7" t="s">
        <v>4</v>
      </c>
    </row>
    <row r="31" spans="2:11" ht="15">
      <c r="B31" t="s">
        <v>87</v>
      </c>
      <c r="C31" s="1"/>
      <c r="D31" s="1"/>
      <c r="E31" s="1"/>
      <c r="F31" s="1"/>
      <c r="G31" s="1"/>
      <c r="H31" s="1" t="s">
        <v>4</v>
      </c>
      <c r="I31" s="6" t="s">
        <v>4</v>
      </c>
      <c r="J31" s="7" t="s">
        <v>4</v>
      </c>
      <c r="K31" s="7" t="s">
        <v>4</v>
      </c>
    </row>
    <row r="32" spans="2:11" ht="15">
      <c r="B32" s="1" t="s">
        <v>4</v>
      </c>
      <c r="C32" t="s">
        <v>29</v>
      </c>
      <c r="D32" t="s">
        <v>90</v>
      </c>
      <c r="E32" s="1"/>
      <c r="F32" s="1"/>
      <c r="G32" s="1"/>
      <c r="H32" s="1" t="s">
        <v>4</v>
      </c>
      <c r="I32" s="6" t="s">
        <v>4</v>
      </c>
      <c r="J32" s="4" t="s">
        <v>4</v>
      </c>
      <c r="K32" s="7" t="s">
        <v>4</v>
      </c>
    </row>
    <row r="33" spans="2:11" ht="15">
      <c r="B33" s="1" t="s">
        <v>4</v>
      </c>
      <c r="C33" s="1" t="s">
        <v>4</v>
      </c>
      <c r="D33" t="s">
        <v>92</v>
      </c>
      <c r="E33" t="s">
        <v>93</v>
      </c>
      <c r="F33" s="1"/>
      <c r="G33" s="1"/>
      <c r="H33" s="1" t="s">
        <v>4</v>
      </c>
      <c r="I33" s="3">
        <f>J33*'Finish Input'!G34</f>
        <v>12597.04109589041</v>
      </c>
      <c r="J33" s="4">
        <f>'Finish-Worksheet'!D181</f>
        <v>0.18592320890117794</v>
      </c>
      <c r="K33" s="4">
        <f>J33*'Finish Input'!G34/'Finish Input'!K27</f>
        <v>0.15830281228634085</v>
      </c>
    </row>
    <row r="34" spans="2:11" ht="15">
      <c r="B34" s="1" t="s">
        <v>4</v>
      </c>
      <c r="C34" s="1" t="s">
        <v>4</v>
      </c>
      <c r="D34" t="s">
        <v>94</v>
      </c>
      <c r="E34" t="s">
        <v>95</v>
      </c>
      <c r="F34" s="1"/>
      <c r="G34" s="1"/>
      <c r="H34" s="1" t="s">
        <v>4</v>
      </c>
      <c r="I34" s="3">
        <f>J34*'Finish Input'!G34</f>
        <v>30489.3</v>
      </c>
      <c r="J34" s="4">
        <f>ROUND(('Finish Input'!H72-('Finish Input'!G99/100*'Finish Input'!H72))/'Finish Input'!G96/'Finish Input'!G34,2)</f>
        <v>0.45</v>
      </c>
      <c r="K34" s="4">
        <f>J34*'Finish Input'!G34/'Finish Input'!K27</f>
        <v>0.38314885995065273</v>
      </c>
    </row>
    <row r="35" spans="2:11" ht="15">
      <c r="B35" s="1" t="s">
        <v>4</v>
      </c>
      <c r="C35" s="1" t="s">
        <v>4</v>
      </c>
      <c r="D35" s="1" t="s">
        <v>4</v>
      </c>
      <c r="E35" s="1" t="s">
        <v>4</v>
      </c>
      <c r="F35" s="1"/>
      <c r="G35" s="1"/>
      <c r="H35" s="1" t="s">
        <v>4</v>
      </c>
      <c r="I35" s="3" t="s">
        <v>97</v>
      </c>
      <c r="J35" s="4"/>
      <c r="K35" s="4"/>
    </row>
    <row r="36" spans="2:11" ht="15">
      <c r="B36" s="1" t="s">
        <v>4</v>
      </c>
      <c r="C36" s="1" t="s">
        <v>4</v>
      </c>
      <c r="D36" t="s">
        <v>98</v>
      </c>
      <c r="E36" s="1"/>
      <c r="F36" s="1"/>
      <c r="G36" s="1"/>
      <c r="H36" s="1"/>
      <c r="I36" s="3">
        <f>J36*'Finish Input'!G34</f>
        <v>43086.341095890406</v>
      </c>
      <c r="J36" s="4">
        <f>SUM(J32:J35)</f>
        <v>0.6359232089011779</v>
      </c>
      <c r="K36" s="4">
        <f>J36*'Finish Input'!G34/'Finish Input'!K27</f>
        <v>0.5414516722369935</v>
      </c>
    </row>
    <row r="37" spans="2:11" ht="15">
      <c r="B37" s="1" t="s">
        <v>4</v>
      </c>
      <c r="C37" s="1" t="s">
        <v>4</v>
      </c>
      <c r="D37" s="1" t="s">
        <v>4</v>
      </c>
      <c r="E37" s="1" t="s">
        <v>4</v>
      </c>
      <c r="F37" s="1"/>
      <c r="G37" s="1"/>
      <c r="H37" s="1" t="s">
        <v>4</v>
      </c>
      <c r="I37" s="6" t="s">
        <v>4</v>
      </c>
      <c r="J37" s="7" t="s">
        <v>4</v>
      </c>
      <c r="K37" s="7" t="s">
        <v>4</v>
      </c>
    </row>
    <row r="38" spans="2:11" ht="15">
      <c r="B38" s="1" t="s">
        <v>4</v>
      </c>
      <c r="C38" t="s">
        <v>34</v>
      </c>
      <c r="D38" t="s">
        <v>101</v>
      </c>
      <c r="E38" s="1"/>
      <c r="F38" s="1"/>
      <c r="G38" s="1"/>
      <c r="H38" s="1" t="s">
        <v>4</v>
      </c>
      <c r="I38" s="6" t="s">
        <v>4</v>
      </c>
      <c r="J38" s="7" t="s">
        <v>4</v>
      </c>
      <c r="K38" s="7" t="s">
        <v>4</v>
      </c>
    </row>
    <row r="39" spans="2:11" ht="15">
      <c r="B39" s="1" t="s">
        <v>4</v>
      </c>
      <c r="C39" s="1" t="s">
        <v>4</v>
      </c>
      <c r="D39" t="s">
        <v>102</v>
      </c>
      <c r="E39" t="s">
        <v>93</v>
      </c>
      <c r="F39" s="1"/>
      <c r="G39" s="1"/>
      <c r="H39" s="1" t="s">
        <v>4</v>
      </c>
      <c r="I39" s="3">
        <f>J39*'Finish Input'!G34</f>
        <v>5292.5068493150675</v>
      </c>
      <c r="J39" s="4">
        <f>'Finish-Worksheet'!D210</f>
        <v>0.07811357040639767</v>
      </c>
      <c r="K39" s="4">
        <f>J39*'Finish Input'!G34/'Finish Input'!K27</f>
        <v>0.06650916766196958</v>
      </c>
    </row>
    <row r="40" spans="2:11" ht="15">
      <c r="B40" s="1" t="s">
        <v>4</v>
      </c>
      <c r="C40" s="1" t="s">
        <v>4</v>
      </c>
      <c r="D40" t="s">
        <v>103</v>
      </c>
      <c r="E40" t="s">
        <v>95</v>
      </c>
      <c r="F40" s="1"/>
      <c r="G40" s="1"/>
      <c r="H40" s="1" t="s">
        <v>4</v>
      </c>
      <c r="I40" s="3">
        <f>J40*'Finish Input'!G34</f>
        <v>7452.94</v>
      </c>
      <c r="J40" s="4">
        <f>ROUND(('Finish Input'!H72+('Finish Input'!G99/100*'Finish Input'!H72))/2*'Finish Input'!G101/100/'Finish Input'!G34,2)</f>
        <v>0.11</v>
      </c>
      <c r="K40" s="4">
        <f>J40*'Finish Input'!G34/'Finish Input'!K27</f>
        <v>0.09365861021015955</v>
      </c>
    </row>
    <row r="41" spans="2:11" ht="15">
      <c r="B41" s="1" t="s">
        <v>4</v>
      </c>
      <c r="C41" s="1" t="s">
        <v>4</v>
      </c>
      <c r="D41" s="1" t="s">
        <v>4</v>
      </c>
      <c r="E41" s="1" t="s">
        <v>4</v>
      </c>
      <c r="F41" s="1"/>
      <c r="G41" s="1"/>
      <c r="H41" s="1" t="s">
        <v>4</v>
      </c>
      <c r="I41" s="3" t="s">
        <v>104</v>
      </c>
      <c r="J41" s="4"/>
      <c r="K41" s="4"/>
    </row>
    <row r="42" spans="2:11" ht="15">
      <c r="B42" s="1" t="s">
        <v>4</v>
      </c>
      <c r="C42" s="1" t="s">
        <v>4</v>
      </c>
      <c r="D42" t="s">
        <v>105</v>
      </c>
      <c r="E42" s="1"/>
      <c r="F42" s="1"/>
      <c r="G42" s="1"/>
      <c r="H42" s="1" t="s">
        <v>4</v>
      </c>
      <c r="I42" s="3">
        <f>J42*'Finish Input'!G34</f>
        <v>12745.446849315067</v>
      </c>
      <c r="J42" s="4">
        <f>SUM(J38:J41)</f>
        <v>0.18811357040639767</v>
      </c>
      <c r="K42" s="4">
        <f>J42*'Finish Input'!G34/'Finish Input'!K27</f>
        <v>0.16016777787212913</v>
      </c>
    </row>
    <row r="43" spans="2:11" ht="15">
      <c r="B43" s="1" t="s">
        <v>4</v>
      </c>
      <c r="C43" s="1" t="s">
        <v>4</v>
      </c>
      <c r="D43" s="1" t="s">
        <v>4</v>
      </c>
      <c r="E43" s="1" t="s">
        <v>4</v>
      </c>
      <c r="F43" s="1"/>
      <c r="G43" s="1"/>
      <c r="H43" s="1" t="s">
        <v>4</v>
      </c>
      <c r="I43" s="3" t="s">
        <v>89</v>
      </c>
      <c r="J43" s="4"/>
      <c r="K43" s="4"/>
    </row>
    <row r="44" spans="2:11" ht="15">
      <c r="B44" s="1" t="s">
        <v>4</v>
      </c>
      <c r="C44" t="s">
        <v>106</v>
      </c>
      <c r="D44" s="1"/>
      <c r="E44" s="1"/>
      <c r="F44" s="1"/>
      <c r="G44" s="1"/>
      <c r="H44" s="1"/>
      <c r="I44" s="3">
        <f>J44*'Finish Input'!G34</f>
        <v>55831.78794520548</v>
      </c>
      <c r="J44" s="4">
        <f>J36+J42</f>
        <v>0.8240367793075756</v>
      </c>
      <c r="K44" s="4">
        <f>J44*'Finish Input'!G34/'Finish Input'!K27</f>
        <v>0.7016194501091227</v>
      </c>
    </row>
    <row r="45" spans="2:11" ht="15">
      <c r="B45" s="1" t="s">
        <v>4</v>
      </c>
      <c r="C45" s="1" t="s">
        <v>4</v>
      </c>
      <c r="D45" s="1" t="s">
        <v>4</v>
      </c>
      <c r="E45" s="1" t="s">
        <v>4</v>
      </c>
      <c r="F45" s="1"/>
      <c r="G45" s="1"/>
      <c r="H45" s="1" t="s">
        <v>4</v>
      </c>
      <c r="I45" s="6" t="s">
        <v>4</v>
      </c>
      <c r="J45" s="7" t="s">
        <v>4</v>
      </c>
      <c r="K45" s="7" t="s">
        <v>4</v>
      </c>
    </row>
    <row r="46" spans="2:11" ht="15">
      <c r="B46" t="s">
        <v>109</v>
      </c>
      <c r="C46" s="1"/>
      <c r="D46" s="1"/>
      <c r="E46" s="1"/>
      <c r="F46" s="1"/>
      <c r="G46" s="1"/>
      <c r="H46" s="1" t="s">
        <v>4</v>
      </c>
      <c r="I46" s="6" t="s">
        <v>4</v>
      </c>
      <c r="J46" s="7" t="s">
        <v>4</v>
      </c>
      <c r="K46" s="7" t="s">
        <v>4</v>
      </c>
    </row>
    <row r="47" spans="2:11" ht="15">
      <c r="B47" s="1" t="s">
        <v>4</v>
      </c>
      <c r="C47" s="1" t="s">
        <v>4</v>
      </c>
      <c r="D47" s="3">
        <f>'Finish Input'!G53</f>
        <v>40</v>
      </c>
      <c r="E47" t="s">
        <v>113</v>
      </c>
      <c r="F47" s="1"/>
      <c r="G47" s="5">
        <f>'Finish Input'!G54</f>
        <v>20</v>
      </c>
      <c r="H47" t="s">
        <v>114</v>
      </c>
      <c r="I47" s="3">
        <f>J47*'Finish Input'!G34</f>
        <v>41329.94</v>
      </c>
      <c r="J47" s="4">
        <f>ROUND('Finish Input'!I53*'Finish Input'!G54/'Finish Input'!G34,2)</f>
        <v>0.61</v>
      </c>
      <c r="K47" s="4">
        <f>J47*'Finish Input'!G34/'Finish Input'!K27</f>
        <v>0.5193795657108848</v>
      </c>
    </row>
    <row r="48" spans="2:11" ht="15">
      <c r="B48" s="1" t="s">
        <v>4</v>
      </c>
      <c r="C48" s="1" t="s">
        <v>4</v>
      </c>
      <c r="D48" s="1" t="s">
        <v>4</v>
      </c>
      <c r="E48" s="1" t="s">
        <v>4</v>
      </c>
      <c r="F48" s="1" t="s">
        <v>4</v>
      </c>
      <c r="G48" s="1" t="s">
        <v>4</v>
      </c>
      <c r="H48" s="1" t="s">
        <v>4</v>
      </c>
      <c r="I48" s="3" t="s">
        <v>115</v>
      </c>
      <c r="J48" s="4"/>
      <c r="K48" s="4"/>
    </row>
    <row r="49" spans="2:11" ht="15">
      <c r="B49" s="1" t="s">
        <v>4</v>
      </c>
      <c r="C49" t="s">
        <v>116</v>
      </c>
      <c r="D49" s="1"/>
      <c r="E49" s="1"/>
      <c r="F49" s="1"/>
      <c r="G49" s="1"/>
      <c r="H49" s="1"/>
      <c r="I49" s="2" t="e">
        <f>J49*'Finish Input'!G34</f>
        <v>#REF!</v>
      </c>
      <c r="J49" s="5" t="e">
        <f>J29+J44+J47</f>
        <v>#REF!</v>
      </c>
      <c r="K49" s="5" t="e">
        <f>J49*'Finish Input'!G34/'Finish Input'!K27</f>
        <v>#REF!</v>
      </c>
    </row>
    <row r="50" spans="2:11" ht="15">
      <c r="B50" s="1" t="s">
        <v>4</v>
      </c>
      <c r="C50" s="1" t="s">
        <v>4</v>
      </c>
      <c r="D50" s="1"/>
      <c r="E50" s="1"/>
      <c r="F50" s="1"/>
      <c r="G50" s="1"/>
      <c r="H50" s="1" t="s">
        <v>4</v>
      </c>
      <c r="I50" s="1" t="s">
        <v>4</v>
      </c>
      <c r="J50" s="1" t="s">
        <v>4</v>
      </c>
      <c r="K50" s="1" t="s">
        <v>4</v>
      </c>
    </row>
    <row r="51" spans="2:11" ht="15">
      <c r="B51" s="1" t="s">
        <v>4</v>
      </c>
      <c r="C51" t="s">
        <v>117</v>
      </c>
      <c r="D51" s="1"/>
      <c r="E51" s="1"/>
      <c r="F51" s="1"/>
      <c r="G51" s="1"/>
      <c r="H51" s="8" t="s">
        <v>118</v>
      </c>
      <c r="I51" s="8" t="s">
        <v>119</v>
      </c>
      <c r="J51" s="1" t="s">
        <v>4</v>
      </c>
      <c r="K51" s="1" t="s">
        <v>4</v>
      </c>
    </row>
    <row r="52" spans="2:11" ht="15">
      <c r="B52" s="1" t="s">
        <v>4</v>
      </c>
      <c r="C52" s="1" t="s">
        <v>4</v>
      </c>
      <c r="D52" s="1"/>
      <c r="E52" s="1"/>
      <c r="F52" s="1"/>
      <c r="G52" s="1"/>
      <c r="H52" t="s">
        <v>120</v>
      </c>
      <c r="I52" t="s">
        <v>121</v>
      </c>
      <c r="J52" s="1" t="s">
        <v>4</v>
      </c>
      <c r="K52" s="1" t="s">
        <v>4</v>
      </c>
    </row>
    <row r="53" spans="2:11" ht="15">
      <c r="B53" s="1" t="s">
        <v>4</v>
      </c>
      <c r="C53" t="s">
        <v>124</v>
      </c>
      <c r="D53" s="1"/>
      <c r="E53" s="1"/>
      <c r="F53" s="1"/>
      <c r="G53" s="1"/>
      <c r="H53" s="5" t="e">
        <f>J29/('Finish Input'!I18*'Finish Input'!H12*'Finish Input'!#REF!)*1000000</f>
        <v>#REF!</v>
      </c>
      <c r="I53" s="5" t="e">
        <f>H53/2.2046</f>
        <v>#REF!</v>
      </c>
      <c r="J53" s="1" t="s">
        <v>4</v>
      </c>
      <c r="K53" s="1" t="s">
        <v>4</v>
      </c>
    </row>
    <row r="54" spans="2:11" ht="15">
      <c r="B54" s="1" t="s">
        <v>4</v>
      </c>
      <c r="C54" t="s">
        <v>126</v>
      </c>
      <c r="D54" s="1"/>
      <c r="E54" s="1"/>
      <c r="F54" s="1"/>
      <c r="G54" s="1"/>
      <c r="H54" s="5" t="e">
        <f>H53+J47/('Finish Input'!I18*'Finish Input'!H12*'Finish Input'!#REF!)*1000000</f>
        <v>#REF!</v>
      </c>
      <c r="I54" s="5" t="e">
        <f>H54/2.2046</f>
        <v>#REF!</v>
      </c>
      <c r="J54" s="1" t="s">
        <v>4</v>
      </c>
      <c r="K54" s="1" t="s">
        <v>4</v>
      </c>
    </row>
    <row r="55" spans="2:11" ht="15">
      <c r="B55" s="1" t="s">
        <v>4</v>
      </c>
      <c r="C55" t="s">
        <v>127</v>
      </c>
      <c r="D55" s="1"/>
      <c r="E55" s="1"/>
      <c r="F55" s="1"/>
      <c r="G55" s="1"/>
      <c r="H55" s="5" t="e">
        <f>H54+J44/('Finish Input'!I18*'Finish Input'!H12*'Finish Input'!#REF!)*1000000</f>
        <v>#REF!</v>
      </c>
      <c r="I55" s="5" t="e">
        <f>H55/2.2046</f>
        <v>#REF!</v>
      </c>
      <c r="J55" s="1" t="s">
        <v>4</v>
      </c>
      <c r="K55" s="1" t="s">
        <v>4</v>
      </c>
    </row>
    <row r="56" spans="2:11" ht="15">
      <c r="B56" s="1" t="s">
        <v>4</v>
      </c>
      <c r="C56" s="1" t="s">
        <v>4</v>
      </c>
      <c r="D56" s="1"/>
      <c r="E56" s="1"/>
      <c r="F56" s="1"/>
      <c r="G56" s="1"/>
      <c r="H56" s="1" t="s">
        <v>4</v>
      </c>
      <c r="I56" s="1" t="s">
        <v>4</v>
      </c>
      <c r="J56" s="1" t="s">
        <v>4</v>
      </c>
      <c r="K56" s="1" t="s">
        <v>4</v>
      </c>
    </row>
    <row r="57" spans="2:11" ht="15">
      <c r="B57" s="1" t="s">
        <v>4</v>
      </c>
      <c r="C57" t="s">
        <v>130</v>
      </c>
      <c r="D57" s="1"/>
      <c r="E57" s="1"/>
      <c r="F57" s="1"/>
      <c r="G57" s="1"/>
      <c r="H57" s="1"/>
      <c r="I57" s="1"/>
      <c r="J57" s="1"/>
      <c r="K57" s="1"/>
    </row>
    <row r="59" ht="15">
      <c r="C59" t="s">
        <v>132</v>
      </c>
    </row>
    <row r="60" spans="2:11" ht="15">
      <c r="B60" s="1" t="s">
        <v>4</v>
      </c>
      <c r="C60" t="s">
        <v>133</v>
      </c>
      <c r="E60" s="1"/>
      <c r="F60" s="1"/>
      <c r="G60" s="1"/>
      <c r="H60" s="1"/>
      <c r="I60" s="1"/>
      <c r="J60" s="1"/>
      <c r="K60" s="1"/>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Aquaculture COP </dc:title>
  <dc:subject/>
  <dc:creator>Darren Bond</dc:creator>
  <cp:keywords/>
  <dc:description/>
  <cp:lastModifiedBy>KMashinini</cp:lastModifiedBy>
  <cp:lastPrinted>2017-12-06T21:56:16Z</cp:lastPrinted>
  <dcterms:created xsi:type="dcterms:W3CDTF">1998-11-17T15:13:23Z</dcterms:created>
  <dcterms:modified xsi:type="dcterms:W3CDTF">2017-12-11T20:38:25Z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TemplateUrl">
    <vt:lpwstr/>
  </property>
  <property fmtid="{D5CDD505-2E9C-101B-9397-08002B2CF9AE}" pid="5" name="PublishingExpirationDate">
    <vt:lpwstr/>
  </property>
  <property fmtid="{D5CDD505-2E9C-101B-9397-08002B2CF9AE}" pid="6" name="xd_ProgID">
    <vt:lpwstr/>
  </property>
  <property fmtid="{D5CDD505-2E9C-101B-9397-08002B2CF9AE}" pid="7" name="PublishingStartDate">
    <vt:lpwstr/>
  </property>
  <property fmtid="{D5CDD505-2E9C-101B-9397-08002B2CF9AE}" pid="8" name="ContentTypeId">
    <vt:lpwstr>0x010100ACAADE3355E29C4E95B09CD45679A285</vt:lpwstr>
  </property>
  <property fmtid="{D5CDD505-2E9C-101B-9397-08002B2CF9AE}" pid="9" name="_SourceUrl">
    <vt:lpwstr/>
  </property>
  <property fmtid="{D5CDD505-2E9C-101B-9397-08002B2CF9AE}" pid="10" name="_SharedFileIndex">
    <vt:lpwstr/>
  </property>
</Properties>
</file>