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9330" windowHeight="4575" activeTab="0"/>
  </bookViews>
  <sheets>
    <sheet name="Introduction" sheetId="1" r:id="rId1"/>
    <sheet name="Summary" sheetId="2" r:id="rId2"/>
    <sheet name="Input" sheetId="3" r:id="rId3"/>
    <sheet name="Details" sheetId="4" r:id="rId4"/>
  </sheets>
  <definedNames>
    <definedName name="\A">#REF!</definedName>
    <definedName name="\B">#REF!</definedName>
    <definedName name="\C" localSheetId="0">#REF!</definedName>
    <definedName name="\C">#N/A</definedName>
    <definedName name="\D" localSheetId="0">#REF!</definedName>
    <definedName name="\D">#N/A</definedName>
    <definedName name="\E">#REF!</definedName>
    <definedName name="\F">#REF!</definedName>
    <definedName name="\H" localSheetId="0">#REF!</definedName>
    <definedName name="\H">#N/A</definedName>
    <definedName name="\I" localSheetId="0">#REF!</definedName>
    <definedName name="\I">#N/A</definedName>
    <definedName name="\K" localSheetId="0">#N/A</definedName>
    <definedName name="\K">#N/A</definedName>
    <definedName name="\L">#REF!</definedName>
    <definedName name="\N" localSheetId="0">#REF!</definedName>
    <definedName name="\N">#N/A</definedName>
    <definedName name="\O">#REF!</definedName>
    <definedName name="\P" localSheetId="0">#N/A</definedName>
    <definedName name="\P">#N/A</definedName>
    <definedName name="\R">#REF!</definedName>
    <definedName name="\S" localSheetId="0">#REF!</definedName>
    <definedName name="\S">#N/A</definedName>
    <definedName name="\T">#REF!</definedName>
    <definedName name="\U">#REF!</definedName>
    <definedName name="\W" localSheetId="0">#REF!</definedName>
    <definedName name="\W">#N/A</definedName>
    <definedName name="\X" localSheetId="0">#N/A</definedName>
    <definedName name="\X">#N/A</definedName>
    <definedName name="\Y">#REF!</definedName>
    <definedName name="ALL" localSheetId="0">#N/A</definedName>
    <definedName name="ALL">#N/A</definedName>
    <definedName name="_xlnm.Print_Area" localSheetId="2">'Input'!$A$1:$I$54</definedName>
    <definedName name="_xlnm.Print_Area" localSheetId="0">'Introduction'!$A$1:$I$33</definedName>
    <definedName name="Z_6E930F6D_F725_11D2_92B5_0004ACD86FC2_.wvu.PrintArea" localSheetId="0" hidden="1">'Introduction'!$A$4:$B$33</definedName>
  </definedNames>
  <calcPr fullCalcOnLoad="1"/>
</workbook>
</file>

<file path=xl/sharedStrings.xml><?xml version="1.0" encoding="utf-8"?>
<sst xmlns="http://schemas.openxmlformats.org/spreadsheetml/2006/main" count="420" uniqueCount="214">
  <si>
    <t/>
  </si>
  <si>
    <t xml:space="preserve">         Total Building Cost</t>
  </si>
  <si>
    <t xml:space="preserve">         Total Machinery &amp; Equipment Cost</t>
  </si>
  <si>
    <t>3.  Depreciation</t>
  </si>
  <si>
    <t xml:space="preserve">    3.01   Buildings</t>
  </si>
  <si>
    <t xml:space="preserve">    3.02   Machinery &amp; Equipment</t>
  </si>
  <si>
    <t>4.  Investment</t>
  </si>
  <si>
    <t xml:space="preserve">    4.01   Buildings</t>
  </si>
  <si>
    <t xml:space="preserve">    4.02   Machinery &amp; Equipment</t>
  </si>
  <si>
    <t>Breakeven price</t>
  </si>
  <si>
    <t>x</t>
  </si>
  <si>
    <t>÷</t>
  </si>
  <si>
    <t>=</t>
  </si>
  <si>
    <t xml:space="preserve">Total </t>
  </si>
  <si>
    <t>Total</t>
  </si>
  <si>
    <t>+</t>
  </si>
  <si>
    <t>-</t>
  </si>
  <si>
    <t>years useful life</t>
  </si>
  <si>
    <t xml:space="preserve">  Machinery &amp; Equipment</t>
  </si>
  <si>
    <t>Your Cost</t>
  </si>
  <si>
    <t>Total Operating Costs</t>
  </si>
  <si>
    <t>Total Fixed Costs</t>
  </si>
  <si>
    <t>Total Operating and Fixed Costs</t>
  </si>
  <si>
    <t>Total Cost of Production</t>
  </si>
  <si>
    <t xml:space="preserve">        A. Operating Costs</t>
  </si>
  <si>
    <t>salvage value</t>
  </si>
  <si>
    <t>average</t>
  </si>
  <si>
    <t>Assumptions</t>
  </si>
  <si>
    <t>Capital Costs</t>
  </si>
  <si>
    <t>Useful Life</t>
  </si>
  <si>
    <t>original cost</t>
  </si>
  <si>
    <t>2</t>
  </si>
  <si>
    <t>subtotal operating costs</t>
  </si>
  <si>
    <t>%</t>
  </si>
  <si>
    <t>3.02  Machinery &amp; Equipment</t>
  </si>
  <si>
    <t>4.01  Buildings</t>
  </si>
  <si>
    <t>4.02  Machinery &amp; Equipment</t>
  </si>
  <si>
    <t>Other Operating Costs</t>
  </si>
  <si>
    <t>years</t>
  </si>
  <si>
    <t xml:space="preserve">    Total Capital Investment</t>
  </si>
  <si>
    <t>Original Value</t>
  </si>
  <si>
    <t>Salvage Value</t>
  </si>
  <si>
    <t>Subtotal Operating Costs</t>
  </si>
  <si>
    <t xml:space="preserve">         (Operating interest is charged on one half of the subtotal operating costs)</t>
  </si>
  <si>
    <r>
      <t>Original Cost + Salvage Value</t>
    </r>
    <r>
      <rPr>
        <b/>
        <sz val="12"/>
        <rFont val="Arial"/>
        <family val="2"/>
      </rPr>
      <t xml:space="preserve"> x Investment Rate</t>
    </r>
  </si>
  <si>
    <t>Original Cost - Salvage Value</t>
  </si>
  <si>
    <t>2.  Buildings and equipment are valued at new cost.</t>
  </si>
  <si>
    <t>% investment rate</t>
  </si>
  <si>
    <t xml:space="preserve">   Total </t>
  </si>
  <si>
    <t xml:space="preserve">    Total </t>
  </si>
  <si>
    <t>Total Bldg., Mach. &amp; Equip.</t>
  </si>
  <si>
    <t>Total Capital Investment</t>
  </si>
  <si>
    <t>Date:</t>
  </si>
  <si>
    <t>Guidelines For Estimating</t>
  </si>
  <si>
    <r>
      <t>Disclaimer:</t>
    </r>
    <r>
      <rPr>
        <sz val="10"/>
        <rFont val="Arial"/>
        <family val="2"/>
      </rPr>
      <t xml:space="preserve"> This budget is only a guide and is not intended as an in-depth study of the cost of production of this industry. Interpretation and utilization of this information is the responsibility of the user. No liability for decisions based on this publication is assumed. </t>
    </r>
  </si>
  <si>
    <t xml:space="preserve">        B. Operating &amp; labour Costs</t>
  </si>
  <si>
    <t xml:space="preserve">        C. Operating &amp; Fixed Costs</t>
  </si>
  <si>
    <t xml:space="preserve">        D. Operating, Fixed &amp; Labour Costs</t>
  </si>
  <si>
    <t>/ hour</t>
  </si>
  <si>
    <t xml:space="preserve"> Labour Rate</t>
  </si>
  <si>
    <t xml:space="preserve"> / kWhr</t>
  </si>
  <si>
    <t xml:space="preserve"> Maintenance</t>
  </si>
  <si>
    <t xml:space="preserve"> Insurance</t>
  </si>
  <si>
    <t xml:space="preserve"> Property taxes</t>
  </si>
  <si>
    <t xml:space="preserve">   Buildings </t>
  </si>
  <si>
    <t xml:space="preserve">    Total Bldg., Mach. &amp; Equip </t>
  </si>
  <si>
    <t xml:space="preserve">    4.03   Land</t>
  </si>
  <si>
    <t xml:space="preserve"> Investment Rate  </t>
  </si>
  <si>
    <t xml:space="preserve"> Operating Interest Rate  </t>
  </si>
  <si>
    <t xml:space="preserve"> Labour Rate per hour</t>
  </si>
  <si>
    <t>capital cost - buildings</t>
  </si>
  <si>
    <t>capital cost - equipment</t>
  </si>
  <si>
    <t>Total bldg. &amp; equipment</t>
  </si>
  <si>
    <t>Total Maintenance</t>
  </si>
  <si>
    <t>Insurance rate</t>
  </si>
  <si>
    <t>Maintenance rate</t>
  </si>
  <si>
    <t>Total Insurance</t>
  </si>
  <si>
    <t>capital cost - land</t>
  </si>
  <si>
    <t>Total bldg. &amp; land</t>
  </si>
  <si>
    <t>Property tax rate</t>
  </si>
  <si>
    <t>Total Property tax</t>
  </si>
  <si>
    <t>Operating Interest</t>
  </si>
  <si>
    <t>% operating interest rate</t>
  </si>
  <si>
    <t>Labour</t>
  </si>
  <si>
    <t xml:space="preserve">  Buildings</t>
  </si>
  <si>
    <t>Total Land Value</t>
  </si>
  <si>
    <t xml:space="preserve">    Total Land Value</t>
  </si>
  <si>
    <t>3.01  Buildings</t>
  </si>
  <si>
    <t>4.03  Land</t>
  </si>
  <si>
    <t>land</t>
  </si>
  <si>
    <t>Total Value - Cost of Production</t>
  </si>
  <si>
    <t>5.  Value</t>
  </si>
  <si>
    <t>Total Value</t>
  </si>
  <si>
    <t xml:space="preserve">The budget estimates are based on a number of assumptions which are clearly defined in the supporting pages.  Input costs are based on industry information. Proper equipment management in the production process and compliance to all applicable environmental requirements is assumed.  </t>
  </si>
  <si>
    <t xml:space="preserve"> MB Hydro residential rate</t>
  </si>
  <si>
    <t>Days per year</t>
  </si>
  <si>
    <t>MB Hydro rate per kWHr</t>
  </si>
  <si>
    <t>A. Energy Produced</t>
  </si>
  <si>
    <t>kWHr</t>
  </si>
  <si>
    <t>B.  Operating Costs</t>
  </si>
  <si>
    <t>B. Operating Costs</t>
  </si>
  <si>
    <t>Cost/kWHr</t>
  </si>
  <si>
    <t>C.  Fixed Costs</t>
  </si>
  <si>
    <t>2.01  Maintenance</t>
  </si>
  <si>
    <t xml:space="preserve">    2.01   Maintenance</t>
  </si>
  <si>
    <t>C. Fixed Costs</t>
  </si>
  <si>
    <t>D.  Labour</t>
  </si>
  <si>
    <t>D. Labour</t>
  </si>
  <si>
    <t xml:space="preserve"> Hours inspection per week</t>
  </si>
  <si>
    <t>E.  Value</t>
  </si>
  <si>
    <t xml:space="preserve"> $kWHr</t>
  </si>
  <si>
    <t xml:space="preserve"> Desired Simple Payback</t>
  </si>
  <si>
    <t xml:space="preserve"> years</t>
  </si>
  <si>
    <t xml:space="preserve">    5.01   Estimated Annual On-Farm Energy Value</t>
  </si>
  <si>
    <t xml:space="preserve">Estimated Return on Assets (ROA) </t>
  </si>
  <si>
    <t xml:space="preserve"> Manitoba Sales Tax on Hydro</t>
  </si>
  <si>
    <t xml:space="preserve"> Federal GST Tax</t>
  </si>
  <si>
    <t>Manitoba Sales Tax - Hydro</t>
  </si>
  <si>
    <t xml:space="preserve">Federal GST </t>
  </si>
  <si>
    <r>
      <t>Years</t>
    </r>
    <r>
      <rPr>
        <vertAlign val="superscript"/>
        <sz val="12"/>
        <rFont val="Arial"/>
        <family val="2"/>
      </rPr>
      <t>1</t>
    </r>
  </si>
  <si>
    <t>Simple Payback Calculation</t>
  </si>
  <si>
    <r>
      <t>Years</t>
    </r>
    <r>
      <rPr>
        <vertAlign val="superscript"/>
        <sz val="12"/>
        <rFont val="Arial"/>
        <family val="2"/>
      </rPr>
      <t>2</t>
    </r>
  </si>
  <si>
    <t xml:space="preserve"> Estimated Hydro rate annual inflation</t>
  </si>
  <si>
    <t xml:space="preserve">        Capital grant or incentive</t>
  </si>
  <si>
    <t xml:space="preserve">    Capital grant or incentive</t>
  </si>
  <si>
    <t>Per kWHr</t>
  </si>
  <si>
    <t>Maximum</t>
  </si>
  <si>
    <t>Minimum</t>
  </si>
  <si>
    <t xml:space="preserve"> Cost</t>
  </si>
  <si>
    <t>1.01  Minimum Annual Production</t>
  </si>
  <si>
    <t xml:space="preserve">         Maximum Annual Production</t>
  </si>
  <si>
    <t>A.  Energy Produced - estimated range</t>
  </si>
  <si>
    <t>5.01  Minimum Estimated Annual On-Farm Energy value</t>
  </si>
  <si>
    <t xml:space="preserve">          Maximum Estimated Annual On-Farm Energy value</t>
  </si>
  <si>
    <t>Based on:</t>
  </si>
  <si>
    <t xml:space="preserve">    Breakeven Price $/kWHr = Cost ÷ kWHrs</t>
  </si>
  <si>
    <t xml:space="preserve">         Future Estimated Average MB Hydro rate</t>
  </si>
  <si>
    <t xml:space="preserve">         Future Estimated  MB Hydro rate</t>
  </si>
  <si>
    <t>Summary Calculations</t>
  </si>
  <si>
    <t xml:space="preserve">          Future Minimum Estimated Average Annual On-Farm Energy value</t>
  </si>
  <si>
    <t xml:space="preserve">          Future Maximum Estimated Average Annual On-Farm Energy value</t>
  </si>
  <si>
    <t xml:space="preserve">       without MB Hydro rate inflation</t>
  </si>
  <si>
    <t xml:space="preserve">          Estimated Return on Asset (ROA) - without MB Hydro rate inflation</t>
  </si>
  <si>
    <t>ROA</t>
  </si>
  <si>
    <t xml:space="preserve">    A. Without MB Hydro rate inflation</t>
  </si>
  <si>
    <t>Years</t>
  </si>
  <si>
    <t>Years Payback</t>
  </si>
  <si>
    <t xml:space="preserve">    C. Max.Capital Cost w/o Hydro rate inflation</t>
  </si>
  <si>
    <r>
      <t xml:space="preserve"> * </t>
    </r>
    <r>
      <rPr>
        <vertAlign val="superscript"/>
        <sz val="12"/>
        <rFont val="Arial"/>
        <family val="2"/>
      </rPr>
      <t>1</t>
    </r>
  </si>
  <si>
    <r>
      <t xml:space="preserve"> * </t>
    </r>
    <r>
      <rPr>
        <vertAlign val="superscript"/>
        <sz val="12"/>
        <rFont val="Arial"/>
        <family val="2"/>
      </rPr>
      <t>2</t>
    </r>
  </si>
  <si>
    <r>
      <t xml:space="preserve"> Max. Solar Insolation (hrs/day or kWh/m</t>
    </r>
    <r>
      <rPr>
        <vertAlign val="superscript"/>
        <sz val="12"/>
        <rFont val="Arial"/>
        <family val="2"/>
      </rPr>
      <t>2</t>
    </r>
    <r>
      <rPr>
        <sz val="12"/>
        <rFont val="Arial"/>
        <family val="2"/>
      </rPr>
      <t>/day)</t>
    </r>
  </si>
  <si>
    <r>
      <t xml:space="preserve"> Min. Solar Insolation (hrs/day or kWh/m</t>
    </r>
    <r>
      <rPr>
        <vertAlign val="superscript"/>
        <sz val="12"/>
        <rFont val="Arial"/>
        <family val="2"/>
      </rPr>
      <t>2</t>
    </r>
    <r>
      <rPr>
        <sz val="12"/>
        <rFont val="Arial"/>
        <family val="2"/>
      </rPr>
      <t>/day)</t>
    </r>
  </si>
  <si>
    <t xml:space="preserve"> Number of solar collectors installed in heat system </t>
  </si>
  <si>
    <t xml:space="preserve">    Collector Mounts / Racks</t>
  </si>
  <si>
    <t xml:space="preserve">    Collector Mounts installation</t>
  </si>
  <si>
    <t xml:space="preserve">    1.02  Cost / installed kW - net energy output</t>
  </si>
  <si>
    <t xml:space="preserve">    1.01  Total Annual Energy Produced</t>
  </si>
  <si>
    <t xml:space="preserve"> Solar Insolation (hrs/day)</t>
  </si>
  <si>
    <t>Collectors (intalled/system)</t>
  </si>
  <si>
    <t>kWh per Year</t>
  </si>
  <si>
    <t>Net energy output (kW)</t>
  </si>
  <si>
    <t>1.02  Cost per installed kW - net energy output (minimum estimated annual production)</t>
  </si>
  <si>
    <t>Cost per installed kW</t>
  </si>
  <si>
    <t xml:space="preserve">          Cost per installed kW - net energy output (maximum estimated annual production)</t>
  </si>
  <si>
    <t>2.02  Insurance</t>
  </si>
  <si>
    <t xml:space="preserve">    2.02   Insurance</t>
  </si>
  <si>
    <t xml:space="preserve">    2.03   Property Taxes</t>
  </si>
  <si>
    <t xml:space="preserve">    2.04   Operating Interest</t>
  </si>
  <si>
    <t>2.03 Property Taxes</t>
  </si>
  <si>
    <t>2.04  Operating Interest</t>
  </si>
  <si>
    <t xml:space="preserve">        Collector Mounts / Racks</t>
  </si>
  <si>
    <t xml:space="preserve">        Collector Mounts installation</t>
  </si>
  <si>
    <t xml:space="preserve">        Solar Collector and Controllers</t>
  </si>
  <si>
    <t xml:space="preserve">    $ per million BTU</t>
  </si>
  <si>
    <t xml:space="preserve">    $ per kWHr</t>
  </si>
  <si>
    <t>or</t>
  </si>
  <si>
    <t xml:space="preserve">Total Cost of Production </t>
  </si>
  <si>
    <t>Energy Value</t>
  </si>
  <si>
    <t>kWHr energy produced/year</t>
  </si>
  <si>
    <t>Energy Value - minimum range</t>
  </si>
  <si>
    <t>Energy Value - maximum range</t>
  </si>
  <si>
    <t>3.  Solar Insolation is based on Natural Resources Canada solar resource maps.</t>
  </si>
  <si>
    <t>1.  This budget outlines the cost of production for a on-farm solar PV production operation.</t>
  </si>
  <si>
    <t>4.  Annual kWh production could vary from significantly from minimum or maximum estimates.</t>
  </si>
  <si>
    <t>5.  All electrical energy produced is for farm use only.</t>
  </si>
  <si>
    <t>Solar Photovoltaic (PV) Energy Production Worksheet</t>
  </si>
  <si>
    <t>Solar Photovoltaic (PV) Energy Production Costs - Input</t>
  </si>
  <si>
    <t>5.  All electical energy produced is for farm use only.</t>
  </si>
  <si>
    <t>Solar PV Energy Production</t>
  </si>
  <si>
    <t xml:space="preserve"> Solar collector output per hour - watts</t>
  </si>
  <si>
    <t xml:space="preserve"> Expected Solar PV Equipment Lifespan</t>
  </si>
  <si>
    <t>Collector output (watts/hr)</t>
  </si>
  <si>
    <t>Solar Photovoltaic Energy Production Costs</t>
  </si>
  <si>
    <t>Hours per day</t>
  </si>
  <si>
    <t>Total solar pv installed cost</t>
  </si>
  <si>
    <t xml:space="preserve">This guide is designed to provide you with planning information and a format for calculating costs of production for on-farm solar photovoltaic electrical energy production.  Sale of excess energy beyond consumption are not included. Adjustments will be necessary when applying these figures to your own enterprise. </t>
  </si>
  <si>
    <t xml:space="preserve">. . . . . . . . . . . . . . . . . . . . . . . . . . . . . . . . . . . . . . . . . . . . . . . . . </t>
  </si>
  <si>
    <t xml:space="preserve">This tool is available as an Excel worksheet at: </t>
  </si>
  <si>
    <t>or at your local</t>
  </si>
  <si>
    <t xml:space="preserve">Created and maintained by </t>
  </si>
  <si>
    <t xml:space="preserve">For more information, contact your local </t>
  </si>
  <si>
    <t>Roy Arnott</t>
  </si>
  <si>
    <t xml:space="preserve">Farm Management Specialist         </t>
  </si>
  <si>
    <t xml:space="preserve">   Solar Panel Collector &amp; Controllers</t>
  </si>
  <si>
    <t xml:space="preserve">   Electrical System (installation)</t>
  </si>
  <si>
    <t xml:space="preserve">   Bidirectional Hydro meter</t>
  </si>
  <si>
    <t xml:space="preserve">        Electrical System (installation)</t>
  </si>
  <si>
    <t xml:space="preserve">        Bidirectional Hydro meter</t>
  </si>
  <si>
    <t xml:space="preserve"> MB Hydro Solar PV Incentive</t>
  </si>
  <si>
    <r>
      <t>Note:</t>
    </r>
    <r>
      <rPr>
        <sz val="11"/>
        <rFont val="Arial"/>
        <family val="2"/>
      </rPr>
      <t xml:space="preserve"> This budget is only a guide and is not intended as an in depth study of the cost of production of this industry. Interpretation and use of this information is the responsibility of the user.  If you need help with a budget, contact your local Manitoba Agriculture GO Office.</t>
    </r>
  </si>
  <si>
    <t>3.  Solar Insolation is based on solar resource maps (link below)</t>
  </si>
  <si>
    <t xml:space="preserve">        Natural Resources Canada solar resource maps and </t>
  </si>
  <si>
    <t xml:space="preserve"> NREL's PVWatts Calculator</t>
  </si>
  <si>
    <t>October, 2016</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</si>
</sst>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0.0"/>
    <numFmt numFmtId="169" formatCode="0.0000"/>
    <numFmt numFmtId="170" formatCode="#,##0.0000"/>
    <numFmt numFmtId="171" formatCode="&quot;$&quot;#,##0.0000"/>
    <numFmt numFmtId="172" formatCode="&quot;$&quot;#,##0.00"/>
    <numFmt numFmtId="173" formatCode="0.0"/>
    <numFmt numFmtId="174" formatCode="&quot;$&quot;#,##0"/>
    <numFmt numFmtId="175" formatCode="0.0%"/>
    <numFmt numFmtId="176" formatCode="#,##0.0_);[Red]\(#,##0.0\)"/>
    <numFmt numFmtId="177" formatCode="_-&quot;£&quot;* #,##0_-;\-&quot;£&quot;* #,##0_-;_-&quot;£&quot;* &quot;-&quot;_-;_-@_-"/>
    <numFmt numFmtId="178" formatCode="_-&quot;£&quot;* #,##0.00_-;\-&quot;£&quot;* #,##0.00_-;_-&quot;£&quot;* &quot;-&quot;??_-;_-@_-"/>
    <numFmt numFmtId="179" formatCode="&quot;$&quot;#,##0.0000_);[Red]\(&quot;$&quot;#,##0.0000\)"/>
    <numFmt numFmtId="180" formatCode="#,##0;[Red]#,##0"/>
    <numFmt numFmtId="181" formatCode="&quot;$&quot;#,##0.00000"/>
    <numFmt numFmtId="182" formatCode="&quot;$&quot;#,##0.0000_);\(&quot;$&quot;#,##0.0000\)"/>
  </numFmts>
  <fonts count="88">
    <font>
      <sz val="12"/>
      <name val="Arial"/>
      <family val="0"/>
    </font>
    <font>
      <sz val="11"/>
      <color indexed="8"/>
      <name val="Calibri"/>
      <family val="2"/>
    </font>
    <font>
      <u val="single"/>
      <sz val="12"/>
      <name val="Arial"/>
      <family val="2"/>
    </font>
    <font>
      <b/>
      <sz val="14"/>
      <color indexed="18"/>
      <name val="Arial"/>
      <family val="2"/>
    </font>
    <font>
      <b/>
      <sz val="12"/>
      <name val="Arial"/>
      <family val="2"/>
    </font>
    <font>
      <b/>
      <u val="single"/>
      <sz val="12"/>
      <name val="Arial"/>
      <family val="2"/>
    </font>
    <font>
      <b/>
      <sz val="12"/>
      <color indexed="12"/>
      <name val="Arial"/>
      <family val="2"/>
    </font>
    <font>
      <sz val="14"/>
      <name val="Arial"/>
      <family val="2"/>
    </font>
    <font>
      <b/>
      <sz val="10"/>
      <color indexed="12"/>
      <name val="Arial"/>
      <family val="2"/>
    </font>
    <font>
      <b/>
      <u val="single"/>
      <sz val="14"/>
      <name val="Arial"/>
      <family val="2"/>
    </font>
    <font>
      <b/>
      <sz val="12"/>
      <color indexed="56"/>
      <name val="Arial"/>
      <family val="2"/>
    </font>
    <font>
      <b/>
      <sz val="14"/>
      <name val="Arial"/>
      <family val="2"/>
    </font>
    <font>
      <sz val="14"/>
      <color indexed="18"/>
      <name val="Arial"/>
      <family val="2"/>
    </font>
    <font>
      <b/>
      <u val="single"/>
      <sz val="12"/>
      <color indexed="12"/>
      <name val="Arial"/>
      <family val="2"/>
    </font>
    <font>
      <b/>
      <i/>
      <sz val="12"/>
      <name val="Arial"/>
      <family val="2"/>
    </font>
    <font>
      <sz val="10"/>
      <name val="Arial"/>
      <family val="2"/>
    </font>
    <font>
      <sz val="10"/>
      <color indexed="12"/>
      <name val="Arial"/>
      <family val="2"/>
    </font>
    <font>
      <b/>
      <sz val="10"/>
      <name val="Arial"/>
      <family val="2"/>
    </font>
    <font>
      <sz val="12"/>
      <color indexed="10"/>
      <name val="Arial"/>
      <family val="2"/>
    </font>
    <font>
      <sz val="8"/>
      <name val="Arial"/>
      <family val="2"/>
    </font>
    <font>
      <b/>
      <sz val="12"/>
      <color indexed="10"/>
      <name val="Arial"/>
      <family val="2"/>
    </font>
    <font>
      <sz val="12"/>
      <name val="Tahoma"/>
      <family val="2"/>
    </font>
    <font>
      <b/>
      <sz val="12"/>
      <name val="Tahoma"/>
      <family val="2"/>
    </font>
    <font>
      <i/>
      <sz val="12"/>
      <name val="Arial"/>
      <family val="2"/>
    </font>
    <font>
      <vertAlign val="superscript"/>
      <sz val="12"/>
      <name val="Arial"/>
      <family val="2"/>
    </font>
    <font>
      <sz val="16"/>
      <color indexed="18"/>
      <name val="Arial"/>
      <family val="2"/>
    </font>
    <font>
      <b/>
      <sz val="20"/>
      <color indexed="18"/>
      <name val="Arial"/>
      <family val="2"/>
    </font>
    <font>
      <sz val="22"/>
      <name val="Arial"/>
      <family val="2"/>
    </font>
    <font>
      <b/>
      <sz val="11"/>
      <name val="Arial"/>
      <family val="2"/>
    </font>
    <font>
      <sz val="11"/>
      <name val="Arial"/>
      <family val="2"/>
    </font>
    <font>
      <b/>
      <sz val="20"/>
      <name val="Arial"/>
      <family val="2"/>
    </font>
    <font>
      <b/>
      <u val="single"/>
      <sz val="11"/>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2"/>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color indexed="8"/>
      <name val="Arial"/>
      <family val="2"/>
    </font>
    <font>
      <b/>
      <sz val="10"/>
      <color indexed="8"/>
      <name val="Arial"/>
      <family val="2"/>
    </font>
    <font>
      <b/>
      <u val="single"/>
      <sz val="11"/>
      <color indexed="12"/>
      <name val="Arial"/>
      <family val="2"/>
    </font>
    <font>
      <b/>
      <sz val="12"/>
      <color indexed="30"/>
      <name val="Arial"/>
      <family val="2"/>
    </font>
    <font>
      <sz val="12"/>
      <color indexed="30"/>
      <name val="Arial"/>
      <family val="2"/>
    </font>
    <font>
      <b/>
      <sz val="13"/>
      <color indexed="9"/>
      <name val="Arial"/>
      <family val="2"/>
    </font>
    <font>
      <sz val="13"/>
      <color indexed="9"/>
      <name val="Arial"/>
      <family val="2"/>
    </font>
    <font>
      <b/>
      <sz val="14"/>
      <color indexed="9"/>
      <name val="Arial"/>
      <family val="2"/>
    </font>
    <font>
      <sz val="12"/>
      <color indexed="9"/>
      <name val="Arial"/>
      <family val="2"/>
    </font>
    <font>
      <u val="single"/>
      <sz val="14"/>
      <color indexed="1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b/>
      <sz val="10"/>
      <color theme="1"/>
      <name val="Arial"/>
      <family val="2"/>
    </font>
    <font>
      <b/>
      <u val="single"/>
      <sz val="12"/>
      <color rgb="FF0000FF"/>
      <name val="Arial"/>
      <family val="2"/>
    </font>
    <font>
      <b/>
      <u val="single"/>
      <sz val="11"/>
      <color theme="10"/>
      <name val="Arial"/>
      <family val="2"/>
    </font>
    <font>
      <b/>
      <sz val="12"/>
      <color rgb="FF0070C0"/>
      <name val="Arial"/>
      <family val="2"/>
    </font>
    <font>
      <sz val="12"/>
      <color rgb="FF0070C0"/>
      <name val="Arial"/>
      <family val="2"/>
    </font>
    <font>
      <b/>
      <sz val="13"/>
      <color theme="0"/>
      <name val="Arial"/>
      <family val="2"/>
    </font>
    <font>
      <sz val="13"/>
      <color theme="0"/>
      <name val="Arial"/>
      <family val="2"/>
    </font>
    <font>
      <b/>
      <sz val="14"/>
      <color theme="0"/>
      <name val="Arial"/>
      <family val="2"/>
    </font>
    <font>
      <sz val="12"/>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indexed="58"/>
        <bgColor indexed="64"/>
      </patternFill>
    </fill>
    <fill>
      <patternFill patternType="solid">
        <fgColor theme="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hair"/>
      <right style="hair"/>
      <top style="hair"/>
      <bottom style="hair"/>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double"/>
    </border>
    <border>
      <left/>
      <right/>
      <top style="thin"/>
      <bottom style="thin"/>
    </border>
    <border>
      <left/>
      <right/>
      <top style="thin"/>
      <bottom/>
    </border>
  </borders>
  <cellStyleXfs count="85">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lignment/>
      <protection/>
    </xf>
    <xf numFmtId="165" fontId="6" fillId="0" borderId="0">
      <alignment/>
      <protection locked="0"/>
    </xf>
    <xf numFmtId="167" fontId="0" fillId="0" borderId="0">
      <alignment/>
      <protection/>
    </xf>
    <xf numFmtId="167" fontId="6" fillId="0" borderId="0">
      <alignment/>
      <protection locked="0"/>
    </xf>
    <xf numFmtId="38" fontId="0" fillId="0" borderId="0">
      <alignment/>
      <protection/>
    </xf>
    <xf numFmtId="38" fontId="6" fillId="0" borderId="0">
      <alignment/>
      <protection locked="0"/>
    </xf>
    <xf numFmtId="176" fontId="0" fillId="0" borderId="0">
      <alignment/>
      <protection/>
    </xf>
    <xf numFmtId="176" fontId="6" fillId="0" borderId="0">
      <alignment/>
      <protection locked="0"/>
    </xf>
    <xf numFmtId="40" fontId="0" fillId="0" borderId="0">
      <alignment/>
      <protection/>
    </xf>
    <xf numFmtId="40" fontId="6" fillId="0" borderId="0">
      <alignment/>
      <protection locked="0"/>
    </xf>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172" fontId="0" fillId="0" borderId="0">
      <alignment vertical="top"/>
      <protection/>
    </xf>
    <xf numFmtId="0" fontId="0" fillId="32" borderId="7" applyNumberFormat="0" applyFont="0" applyAlignment="0" applyProtection="0"/>
    <xf numFmtId="38" fontId="15" fillId="33" borderId="8">
      <alignment/>
      <protection/>
    </xf>
    <xf numFmtId="38" fontId="16" fillId="0" borderId="8">
      <alignment/>
      <protection locked="0"/>
    </xf>
    <xf numFmtId="176" fontId="15" fillId="34" borderId="8">
      <alignment/>
      <protection/>
    </xf>
    <xf numFmtId="176" fontId="16" fillId="0" borderId="8">
      <alignment/>
      <protection locked="0"/>
    </xf>
    <xf numFmtId="40" fontId="15" fillId="34" borderId="8">
      <alignment/>
      <protection/>
    </xf>
    <xf numFmtId="40" fontId="16" fillId="0" borderId="8">
      <alignment/>
      <protection locked="0"/>
    </xf>
    <xf numFmtId="0" fontId="74" fillId="27" borderId="9" applyNumberFormat="0" applyAlignment="0" applyProtection="0"/>
    <xf numFmtId="9" fontId="0" fillId="0" borderId="0" applyFont="0" applyFill="0" applyBorder="0" applyAlignment="0" applyProtection="0"/>
    <xf numFmtId="10" fontId="0" fillId="0" borderId="0">
      <alignment/>
      <protection/>
    </xf>
    <xf numFmtId="10" fontId="16" fillId="35" borderId="8">
      <alignment/>
      <protection locked="0"/>
    </xf>
    <xf numFmtId="0" fontId="15" fillId="36" borderId="0">
      <alignment/>
      <protection/>
    </xf>
    <xf numFmtId="0" fontId="75" fillId="0" borderId="0" applyNumberFormat="0" applyFill="0" applyBorder="0" applyAlignment="0" applyProtection="0"/>
    <xf numFmtId="0" fontId="76" fillId="0" borderId="10" applyNumberFormat="0" applyFill="0" applyAlignment="0" applyProtection="0"/>
    <xf numFmtId="177" fontId="15" fillId="0" borderId="0" applyFont="0" applyFill="0" applyBorder="0" applyAlignment="0" applyProtection="0"/>
    <xf numFmtId="178" fontId="15" fillId="0" borderId="0" applyFont="0" applyFill="0" applyBorder="0" applyAlignment="0" applyProtection="0"/>
    <xf numFmtId="0" fontId="77" fillId="0" borderId="0" applyNumberFormat="0" applyFill="0" applyBorder="0" applyAlignment="0" applyProtection="0"/>
  </cellStyleXfs>
  <cellXfs count="245">
    <xf numFmtId="3" fontId="0" fillId="0" borderId="0" xfId="0" applyNumberFormat="1" applyAlignment="1">
      <alignment/>
    </xf>
    <xf numFmtId="172" fontId="0" fillId="0" borderId="0" xfId="67">
      <alignment vertical="top"/>
      <protection/>
    </xf>
    <xf numFmtId="0" fontId="0" fillId="0" borderId="0" xfId="67" applyNumberFormat="1" applyFont="1" applyAlignment="1">
      <alignment horizontal="left" vertical="justify" wrapText="1"/>
      <protection/>
    </xf>
    <xf numFmtId="3" fontId="0" fillId="0" borderId="0" xfId="0" applyNumberFormat="1" applyAlignment="1" applyProtection="1">
      <alignment/>
      <protection/>
    </xf>
    <xf numFmtId="3" fontId="4" fillId="0" borderId="0" xfId="0" applyNumberFormat="1" applyFont="1" applyAlignment="1" applyProtection="1">
      <alignment/>
      <protection/>
    </xf>
    <xf numFmtId="166" fontId="0" fillId="0" borderId="0" xfId="0" applyNumberFormat="1" applyAlignment="1" applyProtection="1">
      <alignment/>
      <protection/>
    </xf>
    <xf numFmtId="166" fontId="5" fillId="0" borderId="0" xfId="0" applyNumberFormat="1" applyFont="1" applyAlignment="1" applyProtection="1">
      <alignment horizontal="right"/>
      <protection/>
    </xf>
    <xf numFmtId="3" fontId="6" fillId="0" borderId="0" xfId="0" applyNumberFormat="1" applyFont="1" applyAlignment="1" applyProtection="1">
      <alignment/>
      <protection/>
    </xf>
    <xf numFmtId="3" fontId="4" fillId="0" borderId="0" xfId="0" applyNumberFormat="1" applyFont="1" applyAlignment="1" applyProtection="1">
      <alignment horizontal="right"/>
      <protection/>
    </xf>
    <xf numFmtId="3" fontId="9" fillId="0" borderId="0" xfId="0" applyNumberFormat="1" applyFont="1" applyAlignment="1" applyProtection="1">
      <alignment horizontal="center"/>
      <protection/>
    </xf>
    <xf numFmtId="3" fontId="10" fillId="0" borderId="0" xfId="0" applyNumberFormat="1" applyFont="1" applyAlignment="1" applyProtection="1">
      <alignment/>
      <protection/>
    </xf>
    <xf numFmtId="174" fontId="4" fillId="0" borderId="0" xfId="0" applyNumberFormat="1" applyFont="1" applyAlignment="1" applyProtection="1">
      <alignment/>
      <protection/>
    </xf>
    <xf numFmtId="174" fontId="0" fillId="0" borderId="0" xfId="0" applyNumberFormat="1" applyAlignment="1" applyProtection="1">
      <alignment/>
      <protection/>
    </xf>
    <xf numFmtId="172" fontId="0" fillId="0" borderId="0" xfId="0" applyNumberFormat="1" applyAlignment="1" applyProtection="1">
      <alignment/>
      <protection/>
    </xf>
    <xf numFmtId="3" fontId="7" fillId="0" borderId="0" xfId="0" applyNumberFormat="1" applyFont="1" applyAlignment="1" applyProtection="1">
      <alignment/>
      <protection/>
    </xf>
    <xf numFmtId="3" fontId="7" fillId="0" borderId="0" xfId="0" applyNumberFormat="1" applyFont="1" applyAlignment="1">
      <alignment/>
    </xf>
    <xf numFmtId="0" fontId="11" fillId="0" borderId="0" xfId="0" applyFont="1" applyAlignment="1" applyProtection="1">
      <alignment/>
      <protection/>
    </xf>
    <xf numFmtId="3" fontId="12" fillId="0" borderId="0" xfId="0" applyNumberFormat="1" applyFont="1" applyAlignment="1" applyProtection="1">
      <alignment horizontal="center"/>
      <protection/>
    </xf>
    <xf numFmtId="3" fontId="0" fillId="0" borderId="0" xfId="0" applyNumberFormat="1" applyFont="1" applyAlignment="1" applyProtection="1">
      <alignment/>
      <protection/>
    </xf>
    <xf numFmtId="0" fontId="4" fillId="0" borderId="0" xfId="0" applyFont="1" applyAlignment="1" applyProtection="1">
      <alignment/>
      <protection/>
    </xf>
    <xf numFmtId="4" fontId="0" fillId="0" borderId="0" xfId="0" applyNumberFormat="1" applyFont="1" applyAlignment="1" applyProtection="1">
      <alignment/>
      <protection/>
    </xf>
    <xf numFmtId="3" fontId="0" fillId="0" borderId="11" xfId="0" applyNumberFormat="1" applyFont="1" applyBorder="1" applyAlignment="1" applyProtection="1">
      <alignment/>
      <protection/>
    </xf>
    <xf numFmtId="0" fontId="0" fillId="0" borderId="0" xfId="0" applyFont="1" applyAlignment="1" applyProtection="1">
      <alignment/>
      <protection/>
    </xf>
    <xf numFmtId="0" fontId="2" fillId="0" borderId="0" xfId="0" applyFont="1" applyAlignment="1" applyProtection="1">
      <alignment/>
      <protection/>
    </xf>
    <xf numFmtId="172" fontId="4" fillId="0" borderId="0" xfId="0" applyNumberFormat="1" applyFont="1" applyAlignment="1" applyProtection="1">
      <alignment/>
      <protection/>
    </xf>
    <xf numFmtId="3" fontId="2" fillId="0" borderId="0" xfId="0" applyNumberFormat="1" applyFont="1" applyBorder="1" applyAlignment="1" applyProtection="1">
      <alignment/>
      <protection/>
    </xf>
    <xf numFmtId="3" fontId="0" fillId="0" borderId="0" xfId="0" applyNumberFormat="1" applyFont="1" applyAlignment="1">
      <alignment/>
    </xf>
    <xf numFmtId="174" fontId="0" fillId="0" borderId="0" xfId="0" applyNumberFormat="1" applyFont="1" applyAlignment="1" applyProtection="1">
      <alignment/>
      <protection/>
    </xf>
    <xf numFmtId="3" fontId="14" fillId="0" borderId="0" xfId="0" applyNumberFormat="1" applyFont="1" applyAlignment="1" applyProtection="1">
      <alignment/>
      <protection/>
    </xf>
    <xf numFmtId="164" fontId="0" fillId="0" borderId="0" xfId="0" applyNumberFormat="1" applyFont="1" applyAlignment="1" applyProtection="1">
      <alignment/>
      <protection/>
    </xf>
    <xf numFmtId="3" fontId="4" fillId="0" borderId="0" xfId="0" applyNumberFormat="1" applyFont="1" applyAlignment="1" applyProtection="1">
      <alignment horizontal="center"/>
      <protection/>
    </xf>
    <xf numFmtId="3" fontId="4" fillId="0" borderId="0" xfId="0" applyNumberFormat="1" applyFont="1" applyAlignment="1" applyProtection="1" quotePrefix="1">
      <alignment horizontal="right"/>
      <protection/>
    </xf>
    <xf numFmtId="3" fontId="2" fillId="0" borderId="0" xfId="0" applyNumberFormat="1" applyFont="1" applyAlignment="1" applyProtection="1">
      <alignment/>
      <protection/>
    </xf>
    <xf numFmtId="164" fontId="4" fillId="0" borderId="0" xfId="0" applyNumberFormat="1" applyFont="1" applyAlignment="1" applyProtection="1">
      <alignment/>
      <protection/>
    </xf>
    <xf numFmtId="3" fontId="0" fillId="0" borderId="12" xfId="0" applyNumberFormat="1" applyFont="1" applyBorder="1" applyAlignment="1" applyProtection="1">
      <alignment/>
      <protection/>
    </xf>
    <xf numFmtId="3" fontId="0" fillId="0" borderId="0" xfId="0" applyNumberFormat="1" applyFont="1" applyBorder="1" applyAlignment="1" applyProtection="1">
      <alignment/>
      <protection/>
    </xf>
    <xf numFmtId="3" fontId="5" fillId="0" borderId="0" xfId="0" applyNumberFormat="1" applyFont="1" applyAlignment="1" applyProtection="1">
      <alignment horizontal="left"/>
      <protection/>
    </xf>
    <xf numFmtId="3" fontId="4" fillId="0" borderId="11" xfId="0" applyNumberFormat="1" applyFont="1" applyBorder="1" applyAlignment="1" applyProtection="1">
      <alignment horizontal="right"/>
      <protection/>
    </xf>
    <xf numFmtId="165" fontId="4" fillId="0" borderId="12" xfId="44" applyFont="1" applyBorder="1">
      <alignment/>
      <protection/>
    </xf>
    <xf numFmtId="174" fontId="0" fillId="0" borderId="0" xfId="46" applyNumberFormat="1">
      <alignment/>
      <protection/>
    </xf>
    <xf numFmtId="174" fontId="4" fillId="0" borderId="0" xfId="44" applyNumberFormat="1" applyFont="1">
      <alignment/>
      <protection/>
    </xf>
    <xf numFmtId="172" fontId="2" fillId="0" borderId="0" xfId="46" applyNumberFormat="1" applyFont="1">
      <alignment/>
      <protection/>
    </xf>
    <xf numFmtId="174" fontId="0" fillId="0" borderId="0" xfId="44" applyNumberFormat="1">
      <alignment/>
      <protection/>
    </xf>
    <xf numFmtId="174" fontId="2" fillId="0" borderId="0" xfId="44" applyNumberFormat="1" applyFont="1">
      <alignment/>
      <protection/>
    </xf>
    <xf numFmtId="164" fontId="5" fillId="0" borderId="0" xfId="0" applyNumberFormat="1" applyFont="1" applyBorder="1" applyAlignment="1" applyProtection="1">
      <alignment horizontal="right"/>
      <protection/>
    </xf>
    <xf numFmtId="0" fontId="5" fillId="0" borderId="0" xfId="0" applyFont="1" applyBorder="1" applyAlignment="1" applyProtection="1">
      <alignment/>
      <protection/>
    </xf>
    <xf numFmtId="174" fontId="5" fillId="0" borderId="0" xfId="44" applyNumberFormat="1" applyFont="1" applyBorder="1">
      <alignment/>
      <protection/>
    </xf>
    <xf numFmtId="3" fontId="15" fillId="0" borderId="0" xfId="0" applyNumberFormat="1" applyFont="1" applyAlignment="1" applyProtection="1">
      <alignment/>
      <protection/>
    </xf>
    <xf numFmtId="175" fontId="6" fillId="0" borderId="0" xfId="0" applyNumberFormat="1" applyFont="1" applyAlignment="1" applyProtection="1">
      <alignment/>
      <protection/>
    </xf>
    <xf numFmtId="166" fontId="6" fillId="0" borderId="0" xfId="0" applyNumberFormat="1" applyFont="1" applyAlignment="1" applyProtection="1">
      <alignment/>
      <protection/>
    </xf>
    <xf numFmtId="3" fontId="13" fillId="0" borderId="0" xfId="0" applyNumberFormat="1" applyFont="1" applyAlignment="1" applyProtection="1">
      <alignment horizontal="left"/>
      <protection/>
    </xf>
    <xf numFmtId="172" fontId="0" fillId="0" borderId="0" xfId="67" applyAlignment="1">
      <alignment horizontal="left" vertical="top"/>
      <protection/>
    </xf>
    <xf numFmtId="3" fontId="0" fillId="0" borderId="0" xfId="0" applyNumberFormat="1" applyAlignment="1">
      <alignment vertical="top"/>
    </xf>
    <xf numFmtId="174" fontId="0" fillId="0" borderId="0" xfId="48" applyNumberFormat="1">
      <alignment/>
      <protection/>
    </xf>
    <xf numFmtId="174" fontId="2" fillId="0" borderId="0" xfId="48" applyNumberFormat="1" applyFont="1" applyBorder="1">
      <alignment/>
      <protection/>
    </xf>
    <xf numFmtId="174" fontId="0" fillId="0" borderId="0" xfId="48" applyNumberFormat="1" applyBorder="1">
      <alignment/>
      <protection/>
    </xf>
    <xf numFmtId="4" fontId="0" fillId="0" borderId="0" xfId="48" applyNumberFormat="1">
      <alignment/>
      <protection/>
    </xf>
    <xf numFmtId="4" fontId="2" fillId="0" borderId="0" xfId="52" applyNumberFormat="1" applyFont="1">
      <alignment/>
      <protection/>
    </xf>
    <xf numFmtId="4" fontId="2" fillId="0" borderId="0" xfId="48" applyNumberFormat="1" applyFont="1">
      <alignment/>
      <protection/>
    </xf>
    <xf numFmtId="3" fontId="20" fillId="0" borderId="0" xfId="0" applyNumberFormat="1" applyFont="1" applyAlignment="1">
      <alignment/>
    </xf>
    <xf numFmtId="172" fontId="18" fillId="0" borderId="0" xfId="67" applyFont="1" applyAlignment="1" applyProtection="1">
      <alignment vertical="top"/>
      <protection locked="0"/>
    </xf>
    <xf numFmtId="3" fontId="0" fillId="0" borderId="0" xfId="0" applyNumberFormat="1" applyAlignment="1" applyProtection="1">
      <alignment vertical="top"/>
      <protection locked="0"/>
    </xf>
    <xf numFmtId="172" fontId="22" fillId="0" borderId="0" xfId="67" applyFont="1" applyAlignment="1">
      <alignment horizontal="right" vertical="top"/>
      <protection/>
    </xf>
    <xf numFmtId="17" fontId="22" fillId="0" borderId="0" xfId="67" applyNumberFormat="1" applyFont="1" applyAlignment="1">
      <alignment horizontal="right" vertical="top"/>
      <protection/>
    </xf>
    <xf numFmtId="166" fontId="4" fillId="0" borderId="0" xfId="0" applyNumberFormat="1" applyFont="1" applyBorder="1" applyAlignment="1" applyProtection="1">
      <alignment horizontal="right"/>
      <protection/>
    </xf>
    <xf numFmtId="174" fontId="2" fillId="0" borderId="0" xfId="48" applyNumberFormat="1" applyFont="1">
      <alignment/>
      <protection/>
    </xf>
    <xf numFmtId="3" fontId="11" fillId="0" borderId="0" xfId="0" applyNumberFormat="1" applyFont="1" applyAlignment="1">
      <alignment/>
    </xf>
    <xf numFmtId="3" fontId="0" fillId="0" borderId="0" xfId="46" applyNumberFormat="1" applyFont="1">
      <alignment/>
      <protection/>
    </xf>
    <xf numFmtId="174" fontId="4" fillId="0" borderId="0" xfId="46" applyNumberFormat="1" applyFont="1">
      <alignment/>
      <protection/>
    </xf>
    <xf numFmtId="168" fontId="4" fillId="0" borderId="0" xfId="46" applyNumberFormat="1" applyFont="1">
      <alignment/>
      <protection/>
    </xf>
    <xf numFmtId="3" fontId="2" fillId="0" borderId="0" xfId="0" applyNumberFormat="1" applyFont="1" applyAlignment="1" applyProtection="1">
      <alignment/>
      <protection/>
    </xf>
    <xf numFmtId="3" fontId="0" fillId="0" borderId="0" xfId="0" applyNumberFormat="1" applyFont="1" applyAlignment="1" applyProtection="1">
      <alignment/>
      <protection/>
    </xf>
    <xf numFmtId="3" fontId="23" fillId="0" borderId="0" xfId="0" applyNumberFormat="1" applyFont="1" applyAlignment="1" applyProtection="1">
      <alignment/>
      <protection/>
    </xf>
    <xf numFmtId="171" fontId="12" fillId="0" borderId="0" xfId="0" applyNumberFormat="1" applyFont="1" applyAlignment="1" applyProtection="1">
      <alignment horizontal="center"/>
      <protection/>
    </xf>
    <xf numFmtId="171" fontId="5" fillId="0" borderId="0" xfId="0" applyNumberFormat="1" applyFont="1" applyBorder="1" applyAlignment="1" applyProtection="1">
      <alignment horizontal="right"/>
      <protection/>
    </xf>
    <xf numFmtId="171" fontId="0" fillId="0" borderId="0" xfId="0" applyNumberFormat="1" applyFont="1" applyAlignment="1" applyProtection="1">
      <alignment/>
      <protection/>
    </xf>
    <xf numFmtId="171" fontId="0" fillId="0" borderId="0" xfId="52" applyNumberFormat="1">
      <alignment/>
      <protection/>
    </xf>
    <xf numFmtId="171" fontId="4" fillId="0" borderId="0" xfId="46" applyNumberFormat="1" applyFont="1">
      <alignment/>
      <protection/>
    </xf>
    <xf numFmtId="171" fontId="4" fillId="0" borderId="0" xfId="0" applyNumberFormat="1" applyFont="1" applyAlignment="1" applyProtection="1">
      <alignment/>
      <protection/>
    </xf>
    <xf numFmtId="171" fontId="2" fillId="0" borderId="0" xfId="52" applyNumberFormat="1" applyFont="1">
      <alignment/>
      <protection/>
    </xf>
    <xf numFmtId="171" fontId="5" fillId="0" borderId="0" xfId="46" applyNumberFormat="1" applyFont="1" applyBorder="1">
      <alignment/>
      <protection/>
    </xf>
    <xf numFmtId="171" fontId="0" fillId="0" borderId="12" xfId="0" applyNumberFormat="1" applyFont="1" applyBorder="1" applyAlignment="1" applyProtection="1">
      <alignment/>
      <protection/>
    </xf>
    <xf numFmtId="171" fontId="0" fillId="0" borderId="0" xfId="46" applyNumberFormat="1">
      <alignment/>
      <protection/>
    </xf>
    <xf numFmtId="171" fontId="0" fillId="0" borderId="0" xfId="0" applyNumberFormat="1" applyFont="1" applyBorder="1" applyAlignment="1" applyProtection="1">
      <alignment/>
      <protection/>
    </xf>
    <xf numFmtId="171" fontId="7" fillId="0" borderId="0" xfId="0" applyNumberFormat="1" applyFont="1" applyAlignment="1">
      <alignment/>
    </xf>
    <xf numFmtId="175" fontId="2" fillId="0" borderId="0" xfId="46" applyNumberFormat="1" applyFont="1">
      <alignment/>
      <protection/>
    </xf>
    <xf numFmtId="171" fontId="4" fillId="0" borderId="0" xfId="52" applyNumberFormat="1" applyFont="1">
      <alignment/>
      <protection/>
    </xf>
    <xf numFmtId="3" fontId="4" fillId="0" borderId="11" xfId="0" applyNumberFormat="1" applyFont="1" applyBorder="1" applyAlignment="1" applyProtection="1">
      <alignment/>
      <protection/>
    </xf>
    <xf numFmtId="168" fontId="4" fillId="0" borderId="0" xfId="50" applyNumberFormat="1" applyFont="1">
      <alignment/>
      <protection/>
    </xf>
    <xf numFmtId="3" fontId="4" fillId="0" borderId="0" xfId="0" applyNumberFormat="1" applyFont="1" applyAlignment="1">
      <alignment/>
    </xf>
    <xf numFmtId="174" fontId="2" fillId="0" borderId="0" xfId="52" applyNumberFormat="1" applyFont="1">
      <alignment/>
      <protection/>
    </xf>
    <xf numFmtId="0" fontId="0" fillId="0" borderId="0" xfId="0" applyNumberFormat="1" applyFont="1" applyAlignment="1" applyProtection="1">
      <alignment/>
      <protection/>
    </xf>
    <xf numFmtId="171" fontId="5" fillId="0" borderId="0" xfId="0" applyNumberFormat="1" applyFont="1" applyBorder="1" applyAlignment="1" applyProtection="1">
      <alignment horizontal="center"/>
      <protection/>
    </xf>
    <xf numFmtId="167" fontId="6" fillId="0" borderId="0" xfId="53" applyNumberFormat="1" applyProtection="1">
      <alignment/>
      <protection/>
    </xf>
    <xf numFmtId="174" fontId="4" fillId="0" borderId="0" xfId="48" applyNumberFormat="1" applyFont="1" applyProtection="1">
      <alignment/>
      <protection/>
    </xf>
    <xf numFmtId="176" fontId="4" fillId="0" borderId="0" xfId="49" applyNumberFormat="1" applyFont="1" applyProtection="1">
      <alignment/>
      <protection/>
    </xf>
    <xf numFmtId="174" fontId="4" fillId="0" borderId="0" xfId="44" applyNumberFormat="1" applyFont="1" applyProtection="1">
      <alignment/>
      <protection/>
    </xf>
    <xf numFmtId="3" fontId="4" fillId="0" borderId="0" xfId="44" applyNumberFormat="1" applyFont="1" applyProtection="1">
      <alignment/>
      <protection/>
    </xf>
    <xf numFmtId="38" fontId="6" fillId="0" borderId="0" xfId="49" applyProtection="1">
      <alignment/>
      <protection locked="0"/>
    </xf>
    <xf numFmtId="172" fontId="6" fillId="0" borderId="0" xfId="47" applyNumberFormat="1" applyProtection="1">
      <alignment/>
      <protection locked="0"/>
    </xf>
    <xf numFmtId="168" fontId="6" fillId="0" borderId="0" xfId="47" applyNumberFormat="1" applyProtection="1">
      <alignment/>
      <protection locked="0"/>
    </xf>
    <xf numFmtId="176" fontId="6" fillId="0" borderId="0" xfId="53" applyNumberFormat="1" applyProtection="1">
      <alignment/>
      <protection locked="0"/>
    </xf>
    <xf numFmtId="38" fontId="13" fillId="0" borderId="0" xfId="49" applyFont="1" applyProtection="1">
      <alignment/>
      <protection locked="0"/>
    </xf>
    <xf numFmtId="174" fontId="6" fillId="0" borderId="0" xfId="44" applyNumberFormat="1" applyFont="1" applyProtection="1">
      <alignment/>
      <protection locked="0"/>
    </xf>
    <xf numFmtId="0" fontId="3" fillId="0" borderId="0" xfId="0" applyFont="1" applyAlignment="1" applyProtection="1">
      <alignment horizontal="center"/>
      <protection/>
    </xf>
    <xf numFmtId="3" fontId="0" fillId="0" borderId="0" xfId="0" applyNumberFormat="1" applyFont="1" applyAlignment="1" applyProtection="1">
      <alignment horizontal="center"/>
      <protection/>
    </xf>
    <xf numFmtId="0" fontId="0" fillId="0" borderId="0" xfId="0" applyFont="1" applyFill="1" applyAlignment="1" applyProtection="1">
      <alignment horizontal="right"/>
      <protection/>
    </xf>
    <xf numFmtId="171" fontId="0" fillId="0" borderId="0" xfId="0" applyNumberFormat="1" applyFont="1" applyFill="1" applyAlignment="1" applyProtection="1">
      <alignment/>
      <protection/>
    </xf>
    <xf numFmtId="172" fontId="17" fillId="0" borderId="0" xfId="0" applyNumberFormat="1" applyFont="1" applyFill="1" applyAlignment="1" applyProtection="1">
      <alignment/>
      <protection/>
    </xf>
    <xf numFmtId="171" fontId="4" fillId="0" borderId="0" xfId="46" applyNumberFormat="1" applyFont="1" applyFill="1">
      <alignment/>
      <protection/>
    </xf>
    <xf numFmtId="172" fontId="0" fillId="0" borderId="13" xfId="0" applyNumberFormat="1" applyFont="1" applyFill="1" applyBorder="1" applyAlignment="1" applyProtection="1">
      <alignment/>
      <protection/>
    </xf>
    <xf numFmtId="167" fontId="4" fillId="0" borderId="0" xfId="48" applyNumberFormat="1" applyFont="1">
      <alignment/>
      <protection/>
    </xf>
    <xf numFmtId="165" fontId="4" fillId="0" borderId="0" xfId="44" applyFont="1" applyBorder="1">
      <alignment/>
      <protection/>
    </xf>
    <xf numFmtId="174" fontId="0" fillId="0" borderId="0" xfId="0" applyNumberFormat="1" applyFont="1" applyBorder="1" applyAlignment="1" applyProtection="1">
      <alignment/>
      <protection/>
    </xf>
    <xf numFmtId="168" fontId="0" fillId="0" borderId="0" xfId="0" applyNumberFormat="1" applyFont="1" applyBorder="1" applyAlignment="1" applyProtection="1">
      <alignment/>
      <protection/>
    </xf>
    <xf numFmtId="3" fontId="15" fillId="0" borderId="0" xfId="0" applyNumberFormat="1" applyFont="1" applyBorder="1" applyAlignment="1" applyProtection="1">
      <alignment/>
      <protection/>
    </xf>
    <xf numFmtId="40" fontId="6" fillId="0" borderId="0" xfId="53" applyNumberFormat="1" applyProtection="1">
      <alignment/>
      <protection locked="0"/>
    </xf>
    <xf numFmtId="3" fontId="0" fillId="0" borderId="0" xfId="0" applyNumberFormat="1" applyAlignment="1" applyProtection="1">
      <alignment horizontal="right"/>
      <protection/>
    </xf>
    <xf numFmtId="3" fontId="2" fillId="0" borderId="0" xfId="0" applyNumberFormat="1" applyFont="1" applyAlignment="1" applyProtection="1">
      <alignment horizontal="right"/>
      <protection/>
    </xf>
    <xf numFmtId="175" fontId="0" fillId="0" borderId="0" xfId="0" applyNumberFormat="1" applyFont="1" applyBorder="1" applyAlignment="1" applyProtection="1">
      <alignment/>
      <protection/>
    </xf>
    <xf numFmtId="171" fontId="0" fillId="0" borderId="0" xfId="48" applyNumberFormat="1" applyFont="1">
      <alignment/>
      <protection/>
    </xf>
    <xf numFmtId="175" fontId="0" fillId="0" borderId="0" xfId="0" applyNumberFormat="1" applyFont="1" applyAlignment="1" applyProtection="1">
      <alignment/>
      <protection/>
    </xf>
    <xf numFmtId="168" fontId="2" fillId="0" borderId="0" xfId="52" applyNumberFormat="1" applyFont="1">
      <alignment/>
      <protection/>
    </xf>
    <xf numFmtId="170" fontId="7" fillId="0" borderId="0" xfId="0" applyNumberFormat="1" applyFont="1" applyAlignment="1">
      <alignment/>
    </xf>
    <xf numFmtId="38" fontId="6" fillId="0" borderId="0" xfId="49" applyFont="1" applyProtection="1">
      <alignment/>
      <protection locked="0"/>
    </xf>
    <xf numFmtId="3" fontId="6" fillId="0" borderId="0" xfId="0" applyNumberFormat="1" applyFont="1" applyAlignment="1" applyProtection="1">
      <alignment horizontal="left"/>
      <protection/>
    </xf>
    <xf numFmtId="165" fontId="0" fillId="0" borderId="0" xfId="44" applyFont="1" applyBorder="1">
      <alignment/>
      <protection/>
    </xf>
    <xf numFmtId="179" fontId="0" fillId="0" borderId="0" xfId="0" applyNumberFormat="1" applyFont="1" applyAlignment="1">
      <alignment/>
    </xf>
    <xf numFmtId="174" fontId="0" fillId="0" borderId="0" xfId="44" applyNumberFormat="1" applyFont="1">
      <alignment/>
      <protection/>
    </xf>
    <xf numFmtId="174" fontId="0" fillId="0" borderId="0" xfId="46" applyNumberFormat="1" applyFont="1">
      <alignment/>
      <protection/>
    </xf>
    <xf numFmtId="170" fontId="2" fillId="0" borderId="0" xfId="46" applyNumberFormat="1" applyFont="1">
      <alignment/>
      <protection/>
    </xf>
    <xf numFmtId="174" fontId="4" fillId="0" borderId="0" xfId="0" applyNumberFormat="1" applyFont="1" applyAlignment="1" applyProtection="1">
      <alignment horizontal="left"/>
      <protection/>
    </xf>
    <xf numFmtId="174" fontId="6" fillId="0" borderId="0" xfId="45" applyNumberFormat="1" applyFont="1" applyFill="1" applyProtection="1">
      <alignment/>
      <protection locked="0"/>
    </xf>
    <xf numFmtId="174" fontId="5" fillId="0" borderId="0" xfId="45" applyNumberFormat="1" applyFont="1" applyFill="1" applyProtection="1">
      <alignment/>
      <protection locked="0"/>
    </xf>
    <xf numFmtId="168" fontId="6" fillId="0" borderId="0" xfId="47" applyNumberFormat="1" applyFill="1" applyProtection="1">
      <alignment/>
      <protection locked="0"/>
    </xf>
    <xf numFmtId="40" fontId="6" fillId="0" borderId="0" xfId="53" applyNumberFormat="1" applyFill="1" applyProtection="1">
      <alignment/>
      <protection locked="0"/>
    </xf>
    <xf numFmtId="174" fontId="13" fillId="0" borderId="0" xfId="45" applyNumberFormat="1" applyFont="1" applyFill="1" applyProtection="1">
      <alignment/>
      <protection locked="0"/>
    </xf>
    <xf numFmtId="38" fontId="6" fillId="0" borderId="0" xfId="49" applyFont="1" applyFill="1" applyProtection="1">
      <alignment/>
      <protection locked="0"/>
    </xf>
    <xf numFmtId="38" fontId="13" fillId="0" borderId="0" xfId="49" applyFont="1" applyFill="1" applyProtection="1">
      <alignment/>
      <protection locked="0"/>
    </xf>
    <xf numFmtId="38" fontId="6" fillId="0" borderId="0" xfId="49" applyFill="1" applyProtection="1">
      <alignment/>
      <protection locked="0"/>
    </xf>
    <xf numFmtId="174" fontId="6" fillId="0" borderId="0" xfId="45" applyNumberFormat="1" applyFill="1" applyProtection="1">
      <alignment/>
      <protection locked="0"/>
    </xf>
    <xf numFmtId="3" fontId="6" fillId="0" borderId="0" xfId="47" applyNumberFormat="1" applyFill="1" applyProtection="1">
      <alignment/>
      <protection locked="0"/>
    </xf>
    <xf numFmtId="174" fontId="6" fillId="0" borderId="0" xfId="47" applyNumberFormat="1" applyFill="1" applyProtection="1">
      <alignment/>
      <protection locked="0"/>
    </xf>
    <xf numFmtId="3" fontId="11" fillId="0" borderId="0" xfId="0" applyNumberFormat="1" applyFont="1" applyAlignment="1" applyProtection="1">
      <alignment horizontal="center"/>
      <protection/>
    </xf>
    <xf numFmtId="3" fontId="7" fillId="0" borderId="0" xfId="0" applyNumberFormat="1" applyFont="1" applyAlignment="1">
      <alignment horizontal="center"/>
    </xf>
    <xf numFmtId="3" fontId="0" fillId="0" borderId="0" xfId="0" applyNumberFormat="1" applyFont="1" applyFill="1" applyAlignment="1" applyProtection="1">
      <alignment/>
      <protection/>
    </xf>
    <xf numFmtId="3" fontId="5" fillId="0" borderId="0" xfId="0" applyNumberFormat="1" applyFont="1" applyFill="1" applyAlignment="1" applyProtection="1">
      <alignment/>
      <protection/>
    </xf>
    <xf numFmtId="171" fontId="4" fillId="0" borderId="0" xfId="0" applyNumberFormat="1" applyFont="1" applyFill="1" applyBorder="1" applyAlignment="1" applyProtection="1">
      <alignment horizontal="center"/>
      <protection/>
    </xf>
    <xf numFmtId="3" fontId="5" fillId="0" borderId="0" xfId="0" applyNumberFormat="1" applyFont="1" applyFill="1" applyBorder="1" applyAlignment="1" applyProtection="1">
      <alignment horizontal="center"/>
      <protection/>
    </xf>
    <xf numFmtId="3" fontId="5" fillId="0" borderId="0" xfId="0" applyNumberFormat="1" applyFont="1" applyFill="1" applyBorder="1" applyAlignment="1" applyProtection="1">
      <alignment/>
      <protection/>
    </xf>
    <xf numFmtId="3" fontId="5" fillId="0" borderId="0" xfId="0" applyNumberFormat="1" applyFont="1" applyFill="1" applyBorder="1" applyAlignment="1" applyProtection="1">
      <alignment horizontal="right"/>
      <protection/>
    </xf>
    <xf numFmtId="174" fontId="4" fillId="0" borderId="0" xfId="0" applyNumberFormat="1" applyFont="1" applyAlignment="1" applyProtection="1">
      <alignment horizontal="right"/>
      <protection/>
    </xf>
    <xf numFmtId="171" fontId="5" fillId="0" borderId="0" xfId="0" applyNumberFormat="1" applyFont="1" applyBorder="1" applyAlignment="1">
      <alignment/>
    </xf>
    <xf numFmtId="171" fontId="5" fillId="0" borderId="0" xfId="0" applyNumberFormat="1" applyFont="1" applyBorder="1" applyAlignment="1">
      <alignment horizontal="right"/>
    </xf>
    <xf numFmtId="3" fontId="4" fillId="0" borderId="0" xfId="0" applyNumberFormat="1" applyFont="1" applyFill="1" applyBorder="1" applyAlignment="1" applyProtection="1">
      <alignment horizontal="right"/>
      <protection/>
    </xf>
    <xf numFmtId="38" fontId="2" fillId="0" borderId="0" xfId="48" applyNumberFormat="1" applyFont="1">
      <alignment/>
      <protection/>
    </xf>
    <xf numFmtId="174" fontId="0" fillId="0" borderId="0" xfId="48" applyNumberFormat="1" applyFont="1">
      <alignment/>
      <protection/>
    </xf>
    <xf numFmtId="174" fontId="4" fillId="0" borderId="0" xfId="0" applyNumberFormat="1" applyFont="1" applyAlignment="1">
      <alignment/>
    </xf>
    <xf numFmtId="174" fontId="4" fillId="0" borderId="0" xfId="48" applyNumberFormat="1" applyFont="1" applyBorder="1">
      <alignment/>
      <protection/>
    </xf>
    <xf numFmtId="3" fontId="5" fillId="0" borderId="0" xfId="0" applyNumberFormat="1" applyFont="1" applyFill="1" applyAlignment="1" applyProtection="1">
      <alignment horizontal="right"/>
      <protection/>
    </xf>
    <xf numFmtId="171" fontId="5" fillId="0" borderId="0" xfId="0" applyNumberFormat="1" applyFont="1" applyFill="1" applyAlignment="1" applyProtection="1">
      <alignment horizontal="right"/>
      <protection/>
    </xf>
    <xf numFmtId="175" fontId="0" fillId="0" borderId="0" xfId="0" applyNumberFormat="1" applyFont="1" applyFill="1" applyBorder="1" applyAlignment="1" applyProtection="1">
      <alignment/>
      <protection/>
    </xf>
    <xf numFmtId="169" fontId="7" fillId="0" borderId="0" xfId="0" applyNumberFormat="1" applyFont="1" applyAlignment="1">
      <alignment/>
    </xf>
    <xf numFmtId="175" fontId="4" fillId="0" borderId="0" xfId="48" applyNumberFormat="1" applyFont="1">
      <alignment/>
      <protection/>
    </xf>
    <xf numFmtId="174" fontId="2" fillId="0" borderId="0" xfId="0" applyNumberFormat="1" applyFont="1" applyAlignment="1" applyProtection="1">
      <alignment/>
      <protection/>
    </xf>
    <xf numFmtId="173" fontId="4" fillId="0" borderId="0" xfId="48" applyNumberFormat="1" applyFont="1">
      <alignment/>
      <protection/>
    </xf>
    <xf numFmtId="173" fontId="0" fillId="0" borderId="0" xfId="0" applyNumberFormat="1" applyFont="1" applyAlignment="1">
      <alignment/>
    </xf>
    <xf numFmtId="173" fontId="0" fillId="0" borderId="0" xfId="0" applyNumberFormat="1" applyFont="1" applyAlignment="1" applyProtection="1">
      <alignment/>
      <protection/>
    </xf>
    <xf numFmtId="172" fontId="0" fillId="0" borderId="0" xfId="48" applyNumberFormat="1" applyFont="1">
      <alignment/>
      <protection/>
    </xf>
    <xf numFmtId="174" fontId="0" fillId="0" borderId="12" xfId="0" applyNumberFormat="1" applyFont="1" applyBorder="1" applyAlignment="1" applyProtection="1">
      <alignment/>
      <protection/>
    </xf>
    <xf numFmtId="3" fontId="3" fillId="0" borderId="0" xfId="0" applyNumberFormat="1" applyFont="1" applyAlignment="1" applyProtection="1">
      <alignment horizontal="center"/>
      <protection/>
    </xf>
    <xf numFmtId="2" fontId="6" fillId="0" borderId="0" xfId="47" applyNumberFormat="1" applyFill="1" applyProtection="1">
      <alignment/>
      <protection locked="0"/>
    </xf>
    <xf numFmtId="2" fontId="6" fillId="0" borderId="0" xfId="47" applyNumberFormat="1" applyProtection="1">
      <alignment/>
      <protection locked="0"/>
    </xf>
    <xf numFmtId="180" fontId="6" fillId="0" borderId="0" xfId="49" applyNumberFormat="1" applyProtection="1">
      <alignment/>
      <protection locked="0"/>
    </xf>
    <xf numFmtId="172" fontId="4" fillId="0" borderId="0" xfId="46" applyNumberFormat="1" applyFont="1">
      <alignment/>
      <protection/>
    </xf>
    <xf numFmtId="10" fontId="2" fillId="0" borderId="0" xfId="46" applyNumberFormat="1" applyFont="1">
      <alignment/>
      <protection/>
    </xf>
    <xf numFmtId="170" fontId="0" fillId="0" borderId="0" xfId="0" applyNumberFormat="1" applyFont="1" applyAlignment="1" applyProtection="1">
      <alignment/>
      <protection/>
    </xf>
    <xf numFmtId="173" fontId="0" fillId="0" borderId="0" xfId="44" applyNumberFormat="1" applyFont="1" applyBorder="1" applyAlignment="1">
      <alignment horizontal="right"/>
      <protection/>
    </xf>
    <xf numFmtId="0" fontId="4" fillId="0" borderId="0" xfId="0" applyFont="1" applyAlignment="1" applyProtection="1">
      <alignment horizontal="right"/>
      <protection/>
    </xf>
    <xf numFmtId="172" fontId="0" fillId="0" borderId="0" xfId="67" applyBorder="1">
      <alignment vertical="top"/>
      <protection/>
    </xf>
    <xf numFmtId="172" fontId="27" fillId="0" borderId="0" xfId="67" applyFont="1" applyBorder="1" applyAlignment="1">
      <alignment vertical="center"/>
      <protection/>
    </xf>
    <xf numFmtId="172" fontId="0" fillId="0" borderId="0" xfId="67" applyBorder="1" applyAlignment="1">
      <alignment vertical="center"/>
      <protection/>
    </xf>
    <xf numFmtId="172" fontId="0" fillId="0" borderId="0" xfId="67" applyAlignment="1">
      <alignment vertical="center"/>
      <protection/>
    </xf>
    <xf numFmtId="172" fontId="7" fillId="0" borderId="0" xfId="67" applyFont="1" applyAlignment="1">
      <alignment horizontal="left" vertical="top" wrapText="1"/>
      <protection/>
    </xf>
    <xf numFmtId="0" fontId="0" fillId="0" borderId="0" xfId="0" applyAlignment="1">
      <alignment vertical="top" wrapText="1"/>
    </xf>
    <xf numFmtId="0" fontId="0" fillId="0" borderId="0" xfId="0" applyAlignment="1">
      <alignment vertical="top"/>
    </xf>
    <xf numFmtId="172" fontId="0" fillId="0" borderId="0" xfId="67" applyFont="1">
      <alignment vertical="top"/>
      <protection/>
    </xf>
    <xf numFmtId="172" fontId="0" fillId="0" borderId="0" xfId="67" applyFont="1" applyAlignment="1">
      <alignment vertical="top"/>
      <protection/>
    </xf>
    <xf numFmtId="181" fontId="6" fillId="0" borderId="0" xfId="0" applyNumberFormat="1" applyFont="1" applyAlignment="1" applyProtection="1">
      <alignment horizontal="right"/>
      <protection locked="0"/>
    </xf>
    <xf numFmtId="0" fontId="78" fillId="0" borderId="0" xfId="0" applyFont="1" applyBorder="1" applyAlignment="1" applyProtection="1">
      <alignment/>
      <protection/>
    </xf>
    <xf numFmtId="0" fontId="79" fillId="0" borderId="0" xfId="0" applyFont="1" applyBorder="1" applyAlignment="1" applyProtection="1">
      <alignment horizontal="right"/>
      <protection/>
    </xf>
    <xf numFmtId="0" fontId="0" fillId="0" borderId="11" xfId="0" applyBorder="1" applyAlignment="1">
      <alignment/>
    </xf>
    <xf numFmtId="0" fontId="78" fillId="0" borderId="11" xfId="0" applyFont="1" applyFill="1" applyBorder="1" applyAlignment="1" applyProtection="1">
      <alignment horizontal="right"/>
      <protection/>
    </xf>
    <xf numFmtId="0" fontId="0" fillId="0" borderId="0" xfId="0" applyAlignment="1">
      <alignment/>
    </xf>
    <xf numFmtId="173" fontId="0" fillId="0" borderId="0" xfId="0" applyNumberFormat="1" applyAlignment="1">
      <alignment/>
    </xf>
    <xf numFmtId="172" fontId="0" fillId="0" borderId="0" xfId="0" applyNumberFormat="1" applyAlignment="1">
      <alignment/>
    </xf>
    <xf numFmtId="0" fontId="78" fillId="0" borderId="14" xfId="0" applyFont="1" applyBorder="1" applyAlignment="1" applyProtection="1">
      <alignment horizontal="left" vertical="center"/>
      <protection/>
    </xf>
    <xf numFmtId="0" fontId="79" fillId="0" borderId="14" xfId="0" applyFont="1" applyBorder="1" applyAlignment="1" applyProtection="1">
      <alignment/>
      <protection/>
    </xf>
    <xf numFmtId="0" fontId="0" fillId="0" borderId="14" xfId="0" applyBorder="1" applyAlignment="1" applyProtection="1">
      <alignment/>
      <protection/>
    </xf>
    <xf numFmtId="0" fontId="80" fillId="0" borderId="0" xfId="0" applyFont="1" applyBorder="1" applyAlignment="1">
      <alignment horizontal="left" vertical="top"/>
    </xf>
    <xf numFmtId="172" fontId="81" fillId="0" borderId="0" xfId="63" applyNumberFormat="1" applyFont="1" applyAlignment="1" applyProtection="1">
      <alignment vertical="top"/>
      <protection/>
    </xf>
    <xf numFmtId="0" fontId="28" fillId="0" borderId="0" xfId="0" applyFont="1" applyAlignment="1">
      <alignment/>
    </xf>
    <xf numFmtId="172" fontId="29" fillId="0" borderId="0" xfId="67" applyFont="1" applyFill="1">
      <alignment vertical="top"/>
      <protection/>
    </xf>
    <xf numFmtId="0" fontId="29" fillId="0" borderId="0" xfId="0" applyFont="1" applyAlignment="1">
      <alignment/>
    </xf>
    <xf numFmtId="164" fontId="4" fillId="0" borderId="0" xfId="46" applyNumberFormat="1" applyFont="1">
      <alignment/>
      <protection/>
    </xf>
    <xf numFmtId="182" fontId="4" fillId="0" borderId="0" xfId="46" applyNumberFormat="1" applyFont="1" applyFill="1">
      <alignment/>
      <protection/>
    </xf>
    <xf numFmtId="172" fontId="30" fillId="0" borderId="0" xfId="67" applyFont="1" applyAlignment="1">
      <alignment horizontal="center" vertical="top"/>
      <protection/>
    </xf>
    <xf numFmtId="171" fontId="31" fillId="0" borderId="0" xfId="0" applyNumberFormat="1" applyFont="1" applyBorder="1" applyAlignment="1" applyProtection="1">
      <alignment horizontal="right"/>
      <protection/>
    </xf>
    <xf numFmtId="3" fontId="70" fillId="0" borderId="0" xfId="63" applyNumberFormat="1" applyAlignment="1" applyProtection="1">
      <alignment/>
      <protection/>
    </xf>
    <xf numFmtId="3" fontId="82" fillId="0" borderId="0" xfId="63" applyNumberFormat="1" applyFont="1" applyAlignment="1" applyProtection="1">
      <alignment/>
      <protection locked="0"/>
    </xf>
    <xf numFmtId="3" fontId="83" fillId="0" borderId="0" xfId="63" applyNumberFormat="1" applyFont="1" applyAlignment="1" applyProtection="1">
      <alignment/>
      <protection locked="0"/>
    </xf>
    <xf numFmtId="3" fontId="0" fillId="0" borderId="0" xfId="0" applyNumberFormat="1" applyAlignment="1" applyProtection="1">
      <alignment/>
      <protection locked="0"/>
    </xf>
    <xf numFmtId="3" fontId="0" fillId="0" borderId="0" xfId="0" applyNumberFormat="1" applyFont="1" applyAlignment="1" applyProtection="1">
      <alignment/>
      <protection locked="0"/>
    </xf>
    <xf numFmtId="172" fontId="29" fillId="0" borderId="0" xfId="67" applyFont="1" applyBorder="1" applyProtection="1">
      <alignment vertical="top"/>
      <protection/>
    </xf>
    <xf numFmtId="3" fontId="21" fillId="0" borderId="0" xfId="0" applyNumberFormat="1" applyFont="1" applyAlignment="1">
      <alignment vertical="top" wrapText="1"/>
    </xf>
    <xf numFmtId="172" fontId="0" fillId="0" borderId="0" xfId="67" applyFont="1" applyAlignment="1">
      <alignment vertical="top" wrapText="1"/>
      <protection/>
    </xf>
    <xf numFmtId="3" fontId="0" fillId="0" borderId="0" xfId="0" applyNumberFormat="1" applyFont="1" applyAlignment="1">
      <alignment vertical="top" wrapText="1"/>
    </xf>
    <xf numFmtId="172" fontId="0" fillId="0" borderId="0" xfId="67" applyFont="1" applyAlignment="1">
      <alignment horizontal="left" vertical="top" wrapText="1"/>
      <protection/>
    </xf>
    <xf numFmtId="172" fontId="25" fillId="0" borderId="0" xfId="67" applyFont="1" applyAlignment="1">
      <alignment horizontal="center" vertical="top" wrapText="1"/>
      <protection/>
    </xf>
    <xf numFmtId="172" fontId="26" fillId="0" borderId="0" xfId="67" applyFont="1" applyAlignment="1">
      <alignment horizontal="center" vertical="top" wrapText="1"/>
      <protection/>
    </xf>
    <xf numFmtId="1" fontId="25" fillId="0" borderId="0" xfId="67" applyNumberFormat="1" applyFont="1" applyAlignment="1">
      <alignment horizontal="center" vertical="top" wrapText="1"/>
      <protection/>
    </xf>
    <xf numFmtId="172" fontId="28" fillId="0" borderId="0" xfId="67" applyFont="1" applyAlignment="1">
      <alignment horizontal="left" vertical="top" wrapText="1"/>
      <protection/>
    </xf>
    <xf numFmtId="3" fontId="14" fillId="0" borderId="13" xfId="0" applyNumberFormat="1" applyFont="1" applyBorder="1" applyAlignment="1" applyProtection="1">
      <alignment horizontal="center"/>
      <protection/>
    </xf>
    <xf numFmtId="3" fontId="14" fillId="0" borderId="13" xfId="0" applyNumberFormat="1" applyFont="1" applyBorder="1" applyAlignment="1" applyProtection="1">
      <alignment/>
      <protection/>
    </xf>
    <xf numFmtId="3" fontId="84" fillId="37" borderId="0" xfId="0" applyNumberFormat="1" applyFont="1" applyFill="1" applyAlignment="1" applyProtection="1">
      <alignment horizontal="center"/>
      <protection/>
    </xf>
    <xf numFmtId="3" fontId="85" fillId="37" borderId="0" xfId="0" applyNumberFormat="1" applyFont="1" applyFill="1" applyAlignment="1" applyProtection="1">
      <alignment/>
      <protection/>
    </xf>
    <xf numFmtId="3" fontId="17" fillId="0" borderId="0" xfId="0" applyNumberFormat="1" applyFont="1" applyAlignment="1">
      <alignment vertical="top" wrapText="1"/>
    </xf>
    <xf numFmtId="3" fontId="0" fillId="0" borderId="0" xfId="0" applyNumberFormat="1" applyAlignment="1">
      <alignment vertical="top" wrapText="1"/>
    </xf>
    <xf numFmtId="171" fontId="31" fillId="0" borderId="0" xfId="0" applyNumberFormat="1" applyFont="1" applyBorder="1" applyAlignment="1">
      <alignment horizontal="center"/>
    </xf>
    <xf numFmtId="166" fontId="86" fillId="37" borderId="0" xfId="0" applyNumberFormat="1" applyFont="1" applyFill="1" applyAlignment="1" applyProtection="1">
      <alignment horizontal="center"/>
      <protection/>
    </xf>
    <xf numFmtId="3" fontId="86" fillId="37" borderId="0" xfId="0" applyNumberFormat="1" applyFont="1" applyFill="1" applyAlignment="1" applyProtection="1">
      <alignment horizontal="center"/>
      <protection/>
    </xf>
    <xf numFmtId="3" fontId="5" fillId="0" borderId="0" xfId="0" applyNumberFormat="1" applyFont="1" applyAlignment="1" applyProtection="1">
      <alignment horizontal="center"/>
      <protection/>
    </xf>
    <xf numFmtId="3" fontId="2" fillId="0" borderId="0" xfId="0" applyNumberFormat="1" applyFont="1" applyAlignment="1" applyProtection="1">
      <alignment horizontal="center"/>
      <protection/>
    </xf>
    <xf numFmtId="166" fontId="5" fillId="0" borderId="0" xfId="0" applyNumberFormat="1" applyFont="1" applyAlignment="1" applyProtection="1">
      <alignment horizontal="center"/>
      <protection/>
    </xf>
    <xf numFmtId="3" fontId="0" fillId="0" borderId="0" xfId="0" applyNumberFormat="1" applyAlignment="1" applyProtection="1">
      <alignment horizontal="center"/>
      <protection/>
    </xf>
    <xf numFmtId="3" fontId="82" fillId="0" borderId="0" xfId="63" applyNumberFormat="1" applyFont="1" applyAlignment="1" applyProtection="1">
      <alignment horizontal="left"/>
      <protection/>
    </xf>
    <xf numFmtId="3" fontId="82" fillId="0" borderId="0" xfId="63" applyNumberFormat="1" applyFont="1" applyAlignment="1" applyProtection="1">
      <alignment horizontal="left"/>
      <protection locked="0"/>
    </xf>
    <xf numFmtId="3" fontId="11" fillId="0" borderId="0" xfId="0" applyNumberFormat="1" applyFont="1" applyAlignment="1" applyProtection="1">
      <alignment horizontal="center"/>
      <protection/>
    </xf>
    <xf numFmtId="3" fontId="7" fillId="0" borderId="0" xfId="0" applyNumberFormat="1" applyFont="1" applyAlignment="1">
      <alignment horizontal="center"/>
    </xf>
    <xf numFmtId="3" fontId="5" fillId="0" borderId="0" xfId="0" applyNumberFormat="1" applyFont="1" applyAlignment="1" applyProtection="1">
      <alignment/>
      <protection/>
    </xf>
    <xf numFmtId="3" fontId="4" fillId="0" borderId="0" xfId="0" applyNumberFormat="1" applyFont="1" applyAlignment="1" applyProtection="1">
      <alignment/>
      <protection/>
    </xf>
    <xf numFmtId="0" fontId="86" fillId="37" borderId="0" xfId="0" applyFont="1" applyFill="1" applyAlignment="1" applyProtection="1">
      <alignment horizontal="center"/>
      <protection/>
    </xf>
    <xf numFmtId="3" fontId="87" fillId="37" borderId="0" xfId="0" applyNumberFormat="1" applyFont="1" applyFill="1" applyAlignment="1" applyProtection="1">
      <alignment horizontal="center"/>
      <protection/>
    </xf>
    <xf numFmtId="3" fontId="5" fillId="0" borderId="0" xfId="0" applyNumberFormat="1" applyFont="1" applyAlignment="1" applyProtection="1">
      <alignment horizontal="left"/>
      <protection/>
    </xf>
    <xf numFmtId="3" fontId="4" fillId="0" borderId="0" xfId="0" applyNumberFormat="1" applyFont="1" applyAlignment="1" applyProtection="1">
      <alignment horizontal="center"/>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 ($1,234) L Black" xfId="44"/>
    <cellStyle name="Curr ($1,234) U Blue" xfId="45"/>
    <cellStyle name="Curr ($1,234.00) L Black" xfId="46"/>
    <cellStyle name="Curr ($1,234.00) U Blue" xfId="47"/>
    <cellStyle name="Curr (1,234) L Black" xfId="48"/>
    <cellStyle name="Curr (1,234) U Blue" xfId="49"/>
    <cellStyle name="Curr (1,234.0) L Black" xfId="50"/>
    <cellStyle name="Curr (1,234.0) U Blue" xfId="51"/>
    <cellStyle name="Curr (1,234.00) L Black" xfId="52"/>
    <cellStyle name="Curr (1,234.00) U Blue"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_Farrow-Wean 500" xfId="67"/>
    <cellStyle name="Note" xfId="68"/>
    <cellStyle name="Num (1,234) L Black" xfId="69"/>
    <cellStyle name="Num (1,234) U Blue" xfId="70"/>
    <cellStyle name="Num (1,234.0) L Black" xfId="71"/>
    <cellStyle name="Num (1,234.0) U Blue" xfId="72"/>
    <cellStyle name="Num (1,234.10) L Black" xfId="73"/>
    <cellStyle name="Num (1,234.10) U Blue" xfId="74"/>
    <cellStyle name="Output" xfId="75"/>
    <cellStyle name="Percent" xfId="76"/>
    <cellStyle name="Percent 00.00% L Black" xfId="77"/>
    <cellStyle name="Percent 00.00% U Blue" xfId="78"/>
    <cellStyle name="Standard_Anpassen der Amortisation" xfId="79"/>
    <cellStyle name="Title" xfId="80"/>
    <cellStyle name="Total" xfId="81"/>
    <cellStyle name="Währung [0]_Compiling Utility Macros" xfId="82"/>
    <cellStyle name="Währung_Compiling Utility Macros"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gov.mb.ca/agriculture/business-and-economics/financial-management/cost-of-production.html" TargetMode="External" /><Relationship Id="rId3" Type="http://schemas.openxmlformats.org/officeDocument/2006/relationships/hyperlink" Target="http://www.gov.mb.ca/agriculture/contact/index.html"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gov.mb.ca/agriculture/business-and-economics/farm-business-management-contacts.html" TargetMode="External" /><Relationship Id="rId2" Type="http://schemas.openxmlformats.org/officeDocument/2006/relationships/hyperlink" Target="http://www.gov.mb.ca/agriculture/contact/index.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361950</xdr:colOff>
      <xdr:row>0</xdr:row>
      <xdr:rowOff>104775</xdr:rowOff>
    </xdr:from>
    <xdr:to>
      <xdr:col>8</xdr:col>
      <xdr:colOff>352425</xdr:colOff>
      <xdr:row>2</xdr:row>
      <xdr:rowOff>47625</xdr:rowOff>
    </xdr:to>
    <xdr:pic>
      <xdr:nvPicPr>
        <xdr:cNvPr id="1" name="Picture 2" descr="GovMB_Logo_blk10.jpg"/>
        <xdr:cNvPicPr preferRelativeResize="1">
          <a:picLocks noChangeAspect="1"/>
        </xdr:cNvPicPr>
      </xdr:nvPicPr>
      <xdr:blipFill>
        <a:blip r:embed="rId1"/>
        <a:stretch>
          <a:fillRect/>
        </a:stretch>
      </xdr:blipFill>
      <xdr:spPr>
        <a:xfrm>
          <a:off x="4800600" y="104775"/>
          <a:ext cx="1514475" cy="323850"/>
        </a:xfrm>
        <a:prstGeom prst="rect">
          <a:avLst/>
        </a:prstGeom>
        <a:noFill/>
        <a:ln w="9525" cmpd="sng">
          <a:noFill/>
        </a:ln>
      </xdr:spPr>
    </xdr:pic>
    <xdr:clientData/>
  </xdr:twoCellAnchor>
  <xdr:twoCellAnchor>
    <xdr:from>
      <xdr:col>5</xdr:col>
      <xdr:colOff>0</xdr:colOff>
      <xdr:row>26</xdr:row>
      <xdr:rowOff>123825</xdr:rowOff>
    </xdr:from>
    <xdr:to>
      <xdr:col>8</xdr:col>
      <xdr:colOff>495300</xdr:colOff>
      <xdr:row>27</xdr:row>
      <xdr:rowOff>209550</xdr:rowOff>
    </xdr:to>
    <xdr:sp>
      <xdr:nvSpPr>
        <xdr:cNvPr id="2" name="TextBox 4">
          <a:hlinkClick r:id="rId2"/>
        </xdr:cNvPr>
        <xdr:cNvSpPr txBox="1">
          <a:spLocks noChangeArrowheads="1"/>
        </xdr:cNvSpPr>
      </xdr:nvSpPr>
      <xdr:spPr>
        <a:xfrm>
          <a:off x="3676650" y="5886450"/>
          <a:ext cx="2781300" cy="276225"/>
        </a:xfrm>
        <a:prstGeom prst="rect">
          <a:avLst/>
        </a:prstGeom>
        <a:noFill/>
        <a:ln w="9525" cmpd="sng">
          <a:noFill/>
        </a:ln>
      </xdr:spPr>
      <xdr:txBody>
        <a:bodyPr vertOverflow="clip" wrap="square"/>
        <a:p>
          <a:pPr algn="l">
            <a:defRPr/>
          </a:pPr>
          <a:r>
            <a:rPr lang="en-US" cap="none" sz="1400" b="0" i="0" u="sng" baseline="0">
              <a:solidFill>
                <a:srgbClr val="0000FF"/>
              </a:solidFill>
              <a:latin typeface="Arial"/>
              <a:ea typeface="Arial"/>
              <a:cs typeface="Arial"/>
            </a:rPr>
            <a:t>www.manitoba.ca/agriculture</a:t>
          </a:r>
        </a:p>
      </xdr:txBody>
    </xdr:sp>
    <xdr:clientData/>
  </xdr:twoCellAnchor>
  <xdr:twoCellAnchor>
    <xdr:from>
      <xdr:col>2</xdr:col>
      <xdr:colOff>200025</xdr:colOff>
      <xdr:row>27</xdr:row>
      <xdr:rowOff>171450</xdr:rowOff>
    </xdr:from>
    <xdr:to>
      <xdr:col>6</xdr:col>
      <xdr:colOff>219075</xdr:colOff>
      <xdr:row>29</xdr:row>
      <xdr:rowOff>0</xdr:rowOff>
    </xdr:to>
    <xdr:sp>
      <xdr:nvSpPr>
        <xdr:cNvPr id="3" name="TextBox 5">
          <a:hlinkClick r:id="rId3"/>
        </xdr:cNvPr>
        <xdr:cNvSpPr txBox="1">
          <a:spLocks noChangeArrowheads="1"/>
        </xdr:cNvSpPr>
      </xdr:nvSpPr>
      <xdr:spPr>
        <a:xfrm>
          <a:off x="1590675" y="6124575"/>
          <a:ext cx="3067050" cy="285750"/>
        </a:xfrm>
        <a:prstGeom prst="rect">
          <a:avLst/>
        </a:prstGeom>
        <a:noFill/>
        <a:ln w="9525" cmpd="sng">
          <a:noFill/>
        </a:ln>
      </xdr:spPr>
      <xdr:txBody>
        <a:bodyPr vertOverflow="clip" wrap="square"/>
        <a:p>
          <a:pPr algn="l">
            <a:defRPr/>
          </a:pPr>
          <a:r>
            <a:rPr lang="en-US" cap="none" sz="1400" b="0" i="0" u="sng" baseline="0">
              <a:solidFill>
                <a:srgbClr val="0000FF"/>
              </a:solidFill>
              <a:latin typeface="Arial"/>
              <a:ea typeface="Arial"/>
              <a:cs typeface="Arial"/>
            </a:rPr>
            <a:t>Manitoba Agriculture GO Office.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723900</xdr:colOff>
      <xdr:row>222</xdr:row>
      <xdr:rowOff>180975</xdr:rowOff>
    </xdr:from>
    <xdr:to>
      <xdr:col>8</xdr:col>
      <xdr:colOff>895350</xdr:colOff>
      <xdr:row>224</xdr:row>
      <xdr:rowOff>19050</xdr:rowOff>
    </xdr:to>
    <xdr:sp>
      <xdr:nvSpPr>
        <xdr:cNvPr id="1" name="TextBox 1">
          <a:hlinkClick r:id="rId1"/>
        </xdr:cNvPr>
        <xdr:cNvSpPr txBox="1">
          <a:spLocks noChangeArrowheads="1"/>
        </xdr:cNvSpPr>
      </xdr:nvSpPr>
      <xdr:spPr>
        <a:xfrm>
          <a:off x="1962150" y="42614850"/>
          <a:ext cx="3505200" cy="257175"/>
        </a:xfrm>
        <a:prstGeom prst="rect">
          <a:avLst/>
        </a:prstGeom>
        <a:noFill/>
        <a:ln w="9525" cmpd="sng">
          <a:noFill/>
        </a:ln>
      </xdr:spPr>
      <xdr:txBody>
        <a:bodyPr vertOverflow="clip" wrap="square" anchor="ctr"/>
        <a:p>
          <a:pPr algn="l">
            <a:defRPr/>
          </a:pPr>
          <a:r>
            <a:rPr lang="en-US" cap="none" sz="1200" b="1" i="0" u="sng" baseline="0">
              <a:solidFill>
                <a:srgbClr val="0000FF"/>
              </a:solidFill>
              <a:latin typeface="Arial"/>
              <a:ea typeface="Arial"/>
              <a:cs typeface="Arial"/>
            </a:rPr>
            <a:t>Manitoba Agriculture Farm Management</a:t>
          </a:r>
        </a:p>
      </xdr:txBody>
    </xdr:sp>
    <xdr:clientData/>
  </xdr:twoCellAnchor>
  <xdr:twoCellAnchor>
    <xdr:from>
      <xdr:col>5</xdr:col>
      <xdr:colOff>561975</xdr:colOff>
      <xdr:row>223</xdr:row>
      <xdr:rowOff>219075</xdr:rowOff>
    </xdr:from>
    <xdr:to>
      <xdr:col>9</xdr:col>
      <xdr:colOff>314325</xdr:colOff>
      <xdr:row>224</xdr:row>
      <xdr:rowOff>247650</xdr:rowOff>
    </xdr:to>
    <xdr:sp>
      <xdr:nvSpPr>
        <xdr:cNvPr id="2" name="TextBox 2">
          <a:hlinkClick r:id="rId2"/>
        </xdr:cNvPr>
        <xdr:cNvSpPr txBox="1">
          <a:spLocks noChangeArrowheads="1"/>
        </xdr:cNvSpPr>
      </xdr:nvSpPr>
      <xdr:spPr>
        <a:xfrm>
          <a:off x="2914650" y="42843450"/>
          <a:ext cx="3209925" cy="257175"/>
        </a:xfrm>
        <a:prstGeom prst="rect">
          <a:avLst/>
        </a:prstGeom>
        <a:noFill/>
        <a:ln w="9525" cmpd="sng">
          <a:noFill/>
        </a:ln>
      </xdr:spPr>
      <xdr:txBody>
        <a:bodyPr vertOverflow="clip" wrap="square"/>
        <a:p>
          <a:pPr algn="l">
            <a:defRPr/>
          </a:pPr>
          <a:r>
            <a:rPr lang="en-US" cap="none" sz="1200" b="1" i="0" u="sng" baseline="0">
              <a:solidFill>
                <a:srgbClr val="0000FF"/>
              </a:solidFill>
              <a:latin typeface="Arial"/>
              <a:ea typeface="Arial"/>
              <a:cs typeface="Arial"/>
            </a:rPr>
            <a:t>Manitoba Agriculture GO Office </a:t>
          </a:r>
          <a:r>
            <a:rPr lang="en-US" cap="none" sz="1200" b="1" i="0" u="none" baseline="0">
              <a:solidFill>
                <a:srgbClr val="000000"/>
              </a:solidFill>
              <a:latin typeface="Arial"/>
              <a:ea typeface="Arial"/>
              <a:cs typeface="Arial"/>
            </a:rPr>
            <a:t>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hydro.mb.ca/environment/energy_sources/solar.shtml" TargetMode="External" /><Relationship Id="rId2" Type="http://schemas.openxmlformats.org/officeDocument/2006/relationships/hyperlink" Target="https://www.nrcan.gc.ca/18366" TargetMode="External" /><Relationship Id="rId3" Type="http://schemas.openxmlformats.org/officeDocument/2006/relationships/hyperlink" Target="http://pvwatts.nrel.gov/" TargetMode="External" /><Relationship Id="rId4" Type="http://schemas.openxmlformats.org/officeDocument/2006/relationships/hyperlink" Target="https://www.hydro.mb.ca/environment/energy_sources/solar.shtml" TargetMode="Externa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roy.arnott@gov.mb.ca" TargetMode="Externa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8"/>
  <dimension ref="A2:J35"/>
  <sheetViews>
    <sheetView showGridLines="0" tabSelected="1" workbookViewId="0" topLeftCell="A1">
      <selection activeCell="A1" sqref="A1"/>
    </sheetView>
  </sheetViews>
  <sheetFormatPr defaultColWidth="8.88671875" defaultRowHeight="15"/>
  <cols>
    <col min="1" max="1" width="6.88671875" style="1" customWidth="1"/>
    <col min="2" max="2" width="9.3359375" style="1" customWidth="1"/>
    <col min="3" max="16384" width="8.88671875" style="1" customWidth="1"/>
  </cols>
  <sheetData>
    <row r="1" ht="15"/>
    <row r="2" spans="1:10" ht="15">
      <c r="A2" s="179"/>
      <c r="B2" s="179"/>
      <c r="C2" s="179"/>
      <c r="D2" s="179"/>
      <c r="E2" s="179"/>
      <c r="F2" s="179"/>
      <c r="G2" s="179"/>
      <c r="H2" s="179"/>
      <c r="I2" s="179"/>
      <c r="J2" s="179"/>
    </row>
    <row r="3" spans="1:10" s="182" customFormat="1" ht="27">
      <c r="A3" s="180" t="s">
        <v>196</v>
      </c>
      <c r="B3" s="181"/>
      <c r="C3" s="181"/>
      <c r="D3" s="181"/>
      <c r="E3" s="181"/>
      <c r="F3" s="181"/>
      <c r="G3" s="181"/>
      <c r="H3" s="181"/>
      <c r="I3" s="181"/>
      <c r="J3" s="181"/>
    </row>
    <row r="4" spans="1:9" ht="20.25" customHeight="1">
      <c r="A4" s="218" t="s">
        <v>53</v>
      </c>
      <c r="B4" s="218"/>
      <c r="C4" s="218"/>
      <c r="D4" s="218"/>
      <c r="E4" s="218"/>
      <c r="F4" s="218"/>
      <c r="G4" s="218"/>
      <c r="H4" s="218"/>
      <c r="I4" s="218"/>
    </row>
    <row r="5" spans="1:9" ht="26.25" customHeight="1">
      <c r="A5" s="219" t="s">
        <v>192</v>
      </c>
      <c r="B5" s="219"/>
      <c r="C5" s="219"/>
      <c r="D5" s="219"/>
      <c r="E5" s="219"/>
      <c r="F5" s="219"/>
      <c r="G5" s="219"/>
      <c r="H5" s="219"/>
      <c r="I5" s="219"/>
    </row>
    <row r="6" spans="1:9" ht="20.25" customHeight="1">
      <c r="A6" s="220" t="str">
        <f>"Based on "&amp;Input!E15&amp;" ("&amp;Input!E14&amp;" watt) Solar Panel Collectors"</f>
        <v>Based on 15 (310 watt) Solar Panel Collectors</v>
      </c>
      <c r="B6" s="220"/>
      <c r="C6" s="220"/>
      <c r="D6" s="220"/>
      <c r="E6" s="220"/>
      <c r="F6" s="220"/>
      <c r="G6" s="220"/>
      <c r="H6" s="220"/>
      <c r="I6" s="220"/>
    </row>
    <row r="7" ht="21.75" customHeight="1"/>
    <row r="8" ht="24.75" customHeight="1">
      <c r="E8" s="206"/>
    </row>
    <row r="9" spans="7:9" ht="21" customHeight="1">
      <c r="G9" s="62" t="s">
        <v>52</v>
      </c>
      <c r="I9" s="63" t="s">
        <v>213</v>
      </c>
    </row>
    <row r="13" spans="5:7" ht="15">
      <c r="E13" s="61"/>
      <c r="G13" s="51"/>
    </row>
    <row r="14" spans="2:9" ht="15">
      <c r="B14" s="60"/>
      <c r="C14" s="61"/>
      <c r="D14" s="61"/>
      <c r="E14" s="61"/>
      <c r="F14" s="61"/>
      <c r="G14" s="61"/>
      <c r="H14" s="61"/>
      <c r="I14" s="61"/>
    </row>
    <row r="15" spans="2:9" ht="15">
      <c r="B15" s="61"/>
      <c r="C15" s="61"/>
      <c r="D15" s="61"/>
      <c r="E15" s="61"/>
      <c r="F15" s="61"/>
      <c r="G15" s="61"/>
      <c r="H15" s="61"/>
      <c r="I15" s="61"/>
    </row>
    <row r="16" spans="2:9" ht="15">
      <c r="B16" s="61"/>
      <c r="C16" s="61"/>
      <c r="D16" s="61"/>
      <c r="E16" s="61"/>
      <c r="F16" s="61"/>
      <c r="G16" s="61"/>
      <c r="H16" s="61"/>
      <c r="I16" s="61"/>
    </row>
    <row r="17" ht="15">
      <c r="B17" s="2"/>
    </row>
    <row r="18" spans="2:9" ht="15" customHeight="1">
      <c r="B18" s="217" t="s">
        <v>195</v>
      </c>
      <c r="C18" s="217"/>
      <c r="D18" s="217"/>
      <c r="E18" s="217"/>
      <c r="F18" s="217"/>
      <c r="G18" s="217"/>
      <c r="H18" s="217"/>
      <c r="I18" s="217"/>
    </row>
    <row r="19" spans="2:9" ht="15">
      <c r="B19" s="217"/>
      <c r="C19" s="217"/>
      <c r="D19" s="217"/>
      <c r="E19" s="217"/>
      <c r="F19" s="217"/>
      <c r="G19" s="217"/>
      <c r="H19" s="217"/>
      <c r="I19" s="217"/>
    </row>
    <row r="20" spans="2:9" ht="18.75" customHeight="1">
      <c r="B20" s="217"/>
      <c r="C20" s="217"/>
      <c r="D20" s="217"/>
      <c r="E20" s="217"/>
      <c r="F20" s="217"/>
      <c r="G20" s="217"/>
      <c r="H20" s="217"/>
      <c r="I20" s="217"/>
    </row>
    <row r="21" spans="2:9" ht="18.75" customHeight="1">
      <c r="B21" s="217"/>
      <c r="C21" s="217"/>
      <c r="D21" s="217"/>
      <c r="E21" s="217"/>
      <c r="F21" s="217"/>
      <c r="G21" s="217"/>
      <c r="H21" s="217"/>
      <c r="I21" s="217"/>
    </row>
    <row r="22" spans="2:9" ht="15">
      <c r="B22" s="52"/>
      <c r="C22" s="52"/>
      <c r="D22" s="52"/>
      <c r="E22" s="52"/>
      <c r="F22" s="52"/>
      <c r="G22" s="52"/>
      <c r="H22" s="52"/>
      <c r="I22" s="52"/>
    </row>
    <row r="23" spans="2:9" ht="15">
      <c r="B23" s="215" t="s">
        <v>93</v>
      </c>
      <c r="C23" s="215"/>
      <c r="D23" s="215"/>
      <c r="E23" s="215"/>
      <c r="F23" s="215"/>
      <c r="G23" s="215"/>
      <c r="H23" s="215"/>
      <c r="I23" s="216"/>
    </row>
    <row r="24" spans="2:9" ht="15">
      <c r="B24" s="215"/>
      <c r="C24" s="215"/>
      <c r="D24" s="215"/>
      <c r="E24" s="215"/>
      <c r="F24" s="215"/>
      <c r="G24" s="215"/>
      <c r="H24" s="215"/>
      <c r="I24" s="216"/>
    </row>
    <row r="25" spans="2:9" ht="15">
      <c r="B25" s="215"/>
      <c r="C25" s="215"/>
      <c r="D25" s="215"/>
      <c r="E25" s="215"/>
      <c r="F25" s="215"/>
      <c r="G25" s="215"/>
      <c r="H25" s="215"/>
      <c r="I25" s="216"/>
    </row>
    <row r="26" spans="2:9" ht="15" customHeight="1">
      <c r="B26" s="215"/>
      <c r="C26" s="215"/>
      <c r="D26" s="215"/>
      <c r="E26" s="215"/>
      <c r="F26" s="215"/>
      <c r="G26" s="215"/>
      <c r="H26" s="215"/>
      <c r="I26" s="216"/>
    </row>
    <row r="27" spans="2:9" ht="15" customHeight="1">
      <c r="B27" s="215"/>
      <c r="C27" s="215"/>
      <c r="D27" s="215"/>
      <c r="E27" s="215"/>
      <c r="F27" s="215"/>
      <c r="G27" s="215"/>
      <c r="H27" s="215"/>
      <c r="I27" s="216"/>
    </row>
    <row r="28" spans="2:10" s="186" customFormat="1" ht="18" customHeight="1">
      <c r="B28" s="187" t="s">
        <v>197</v>
      </c>
      <c r="C28" s="187"/>
      <c r="D28" s="187"/>
      <c r="E28" s="187"/>
      <c r="F28" s="187"/>
      <c r="G28" s="187"/>
      <c r="H28" s="187"/>
      <c r="I28" s="187"/>
      <c r="J28" s="187"/>
    </row>
    <row r="29" spans="2:10" s="186" customFormat="1" ht="18" customHeight="1">
      <c r="B29" s="187" t="s">
        <v>198</v>
      </c>
      <c r="C29" s="187"/>
      <c r="D29" s="187"/>
      <c r="E29" s="187"/>
      <c r="F29" s="187"/>
      <c r="G29" s="187"/>
      <c r="H29" s="187"/>
      <c r="I29" s="187"/>
      <c r="J29" s="187"/>
    </row>
    <row r="30" spans="2:10" ht="18" customHeight="1">
      <c r="B30" s="183"/>
      <c r="C30" s="183"/>
      <c r="D30" s="183"/>
      <c r="E30" s="183"/>
      <c r="F30" s="183"/>
      <c r="G30" s="183"/>
      <c r="H30" s="183"/>
      <c r="I30" s="183"/>
      <c r="J30" s="184"/>
    </row>
    <row r="31" spans="2:10" ht="18" customHeight="1">
      <c r="B31" s="221" t="s">
        <v>209</v>
      </c>
      <c r="C31" s="221"/>
      <c r="D31" s="221"/>
      <c r="E31" s="221"/>
      <c r="F31" s="221"/>
      <c r="G31" s="221"/>
      <c r="H31" s="221"/>
      <c r="I31" s="221"/>
      <c r="J31" s="185"/>
    </row>
    <row r="32" spans="2:10" ht="18" customHeight="1">
      <c r="B32" s="221"/>
      <c r="C32" s="221"/>
      <c r="D32" s="221"/>
      <c r="E32" s="221"/>
      <c r="F32" s="221"/>
      <c r="G32" s="221"/>
      <c r="H32" s="221"/>
      <c r="I32" s="221"/>
      <c r="J32" s="185"/>
    </row>
    <row r="33" spans="2:10" ht="18" customHeight="1">
      <c r="B33" s="221"/>
      <c r="C33" s="221"/>
      <c r="D33" s="221"/>
      <c r="E33" s="221"/>
      <c r="F33" s="221"/>
      <c r="G33" s="221"/>
      <c r="H33" s="221"/>
      <c r="I33" s="221"/>
      <c r="J33" s="185"/>
    </row>
    <row r="34" spans="2:9" ht="15">
      <c r="B34" s="214"/>
      <c r="C34" s="214"/>
      <c r="D34" s="214"/>
      <c r="E34" s="214"/>
      <c r="F34" s="214"/>
      <c r="G34" s="214"/>
      <c r="H34" s="214"/>
      <c r="I34" s="214"/>
    </row>
    <row r="35" spans="2:9" ht="15">
      <c r="B35" s="214"/>
      <c r="C35" s="214"/>
      <c r="D35" s="214"/>
      <c r="E35" s="214"/>
      <c r="F35" s="214"/>
      <c r="G35" s="214"/>
      <c r="H35" s="214"/>
      <c r="I35" s="214"/>
    </row>
  </sheetData>
  <sheetProtection password="C6A6" sheet="1"/>
  <mergeCells count="7">
    <mergeCell ref="B34:I35"/>
    <mergeCell ref="B23:I27"/>
    <mergeCell ref="B18:I21"/>
    <mergeCell ref="A4:I4"/>
    <mergeCell ref="A5:I5"/>
    <mergeCell ref="A6:I6"/>
    <mergeCell ref="B31:I33"/>
  </mergeCells>
  <printOptions/>
  <pageMargins left="0.7480314960629921" right="0.7480314960629921" top="0.8661417322834646" bottom="0.984251968503937" header="0.5118110236220472" footer="0.5118110236220472"/>
  <pageSetup horizontalDpi="600" verticalDpi="600" orientation="portrait" scale="95" r:id="rId3"/>
  <drawing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B2:K70"/>
  <sheetViews>
    <sheetView showGridLines="0" workbookViewId="0" topLeftCell="A1">
      <selection activeCell="B2" sqref="B2:K2"/>
    </sheetView>
  </sheetViews>
  <sheetFormatPr defaultColWidth="8.88671875" defaultRowHeight="15" customHeight="1"/>
  <cols>
    <col min="1" max="1" width="0.9921875" style="15" customWidth="1"/>
    <col min="2" max="2" width="12.21484375" style="15" customWidth="1"/>
    <col min="3" max="3" width="8.88671875" style="15" customWidth="1"/>
    <col min="4" max="4" width="10.21484375" style="15" customWidth="1"/>
    <col min="5" max="5" width="7.77734375" style="15" customWidth="1"/>
    <col min="6" max="6" width="10.99609375" style="84" customWidth="1"/>
    <col min="7" max="7" width="6.99609375" style="15" customWidth="1"/>
    <col min="8" max="8" width="11.10546875" style="15" customWidth="1"/>
    <col min="9" max="9" width="6.99609375" style="15" customWidth="1"/>
    <col min="10" max="10" width="1.5625" style="15" customWidth="1"/>
    <col min="11" max="11" width="9.5546875" style="15" customWidth="1"/>
    <col min="12" max="12" width="7.21484375" style="15" customWidth="1"/>
    <col min="13" max="16384" width="8.88671875" style="15" customWidth="1"/>
  </cols>
  <sheetData>
    <row r="2" spans="2:11" ht="17.25" customHeight="1">
      <c r="B2" s="224" t="str">
        <f>"On-Farm "&amp;Input!E15&amp;" x "&amp;Input!E14&amp;" watt Solar Photovoltaic Energy Production Costs      "&amp;Introduction!I9&amp;""</f>
        <v>On-Farm 15 x 310 watt Solar Photovoltaic Energy Production Costs      October, 2016</v>
      </c>
      <c r="C2" s="225"/>
      <c r="D2" s="225"/>
      <c r="E2" s="225"/>
      <c r="F2" s="225"/>
      <c r="G2" s="225"/>
      <c r="H2" s="225"/>
      <c r="I2" s="225"/>
      <c r="J2" s="225"/>
      <c r="K2" s="225"/>
    </row>
    <row r="3" spans="2:11" ht="7.5" customHeight="1">
      <c r="B3" s="170"/>
      <c r="C3" s="14"/>
      <c r="D3" s="14"/>
      <c r="E3" s="14"/>
      <c r="F3" s="14"/>
      <c r="G3" s="14"/>
      <c r="H3" s="14"/>
      <c r="I3" s="14"/>
      <c r="J3" s="14"/>
      <c r="K3" s="14"/>
    </row>
    <row r="4" spans="2:11" ht="15" customHeight="1">
      <c r="B4" s="222" t="str">
        <f>"Based on a $"&amp;Input!D54&amp;" total capital cost &amp; $"&amp;Input!E19&amp;" kwHr Manitoba Hydro rate"</f>
        <v>Based on a $5600 total capital cost &amp; $0.0793 kwHr Manitoba Hydro rate</v>
      </c>
      <c r="C4" s="223"/>
      <c r="D4" s="223"/>
      <c r="E4" s="223"/>
      <c r="F4" s="223"/>
      <c r="G4" s="223"/>
      <c r="H4" s="223"/>
      <c r="I4" s="223"/>
      <c r="J4" s="223"/>
      <c r="K4" s="223"/>
    </row>
    <row r="5" spans="2:11" ht="7.5" customHeight="1">
      <c r="B5" s="17"/>
      <c r="C5" s="17"/>
      <c r="D5" s="17"/>
      <c r="E5" s="17"/>
      <c r="F5" s="73"/>
      <c r="G5" s="17"/>
      <c r="H5" s="17"/>
      <c r="I5" s="17"/>
      <c r="J5" s="17"/>
      <c r="K5" s="17"/>
    </row>
    <row r="6" spans="2:11" ht="15" customHeight="1">
      <c r="B6" s="4" t="s">
        <v>131</v>
      </c>
      <c r="C6" s="17"/>
      <c r="D6" s="17"/>
      <c r="E6" s="17"/>
      <c r="F6" s="153" t="s">
        <v>127</v>
      </c>
      <c r="G6" s="152"/>
      <c r="H6" s="150" t="s">
        <v>126</v>
      </c>
      <c r="I6" s="149"/>
      <c r="J6" s="17"/>
      <c r="K6" s="17"/>
    </row>
    <row r="7" spans="2:11" ht="15" customHeight="1">
      <c r="B7" s="4" t="s">
        <v>156</v>
      </c>
      <c r="C7" s="17"/>
      <c r="D7" s="17"/>
      <c r="E7" s="17"/>
      <c r="F7" s="89">
        <f>Details!F19</f>
        <v>6789</v>
      </c>
      <c r="G7" s="30" t="s">
        <v>98</v>
      </c>
      <c r="H7" s="8">
        <f>Details!F26</f>
        <v>8486.25</v>
      </c>
      <c r="I7" s="30" t="s">
        <v>98</v>
      </c>
      <c r="J7" s="17"/>
      <c r="K7" s="17"/>
    </row>
    <row r="8" spans="2:11" ht="15" customHeight="1">
      <c r="B8" s="4"/>
      <c r="C8" s="17"/>
      <c r="D8" s="17"/>
      <c r="E8" s="17"/>
      <c r="J8" s="17"/>
      <c r="K8" s="17"/>
    </row>
    <row r="9" spans="2:11" ht="15" customHeight="1">
      <c r="B9" s="4" t="s">
        <v>155</v>
      </c>
      <c r="C9" s="17"/>
      <c r="D9" s="17"/>
      <c r="E9" s="17"/>
      <c r="F9" s="151">
        <f>Details!F36</f>
        <v>7225.81</v>
      </c>
      <c r="G9" s="131"/>
      <c r="H9" s="157">
        <f>Details!F46</f>
        <v>5780.65</v>
      </c>
      <c r="I9" s="17"/>
      <c r="J9" s="17"/>
      <c r="K9" s="17"/>
    </row>
    <row r="10" spans="2:11" ht="15" customHeight="1">
      <c r="B10" s="4"/>
      <c r="C10" s="17"/>
      <c r="D10" s="17"/>
      <c r="E10" s="17"/>
      <c r="F10" s="8"/>
      <c r="G10" s="131"/>
      <c r="H10" s="151"/>
      <c r="I10" s="17"/>
      <c r="J10" s="17"/>
      <c r="K10" s="17"/>
    </row>
    <row r="11" spans="2:11" ht="15" customHeight="1">
      <c r="B11" s="17"/>
      <c r="C11" s="17"/>
      <c r="D11" s="17"/>
      <c r="E11" s="17"/>
      <c r="F11" s="73"/>
      <c r="G11" s="17"/>
      <c r="H11" s="154"/>
      <c r="I11" s="8" t="s">
        <v>14</v>
      </c>
      <c r="J11" s="17"/>
      <c r="K11" s="17"/>
    </row>
    <row r="12" spans="2:11" ht="15" customHeight="1">
      <c r="B12" s="4" t="s">
        <v>99</v>
      </c>
      <c r="C12" s="18"/>
      <c r="D12" s="18"/>
      <c r="E12" s="18"/>
      <c r="F12" s="74" t="s">
        <v>101</v>
      </c>
      <c r="G12" s="32" t="s">
        <v>0</v>
      </c>
      <c r="H12" s="74" t="s">
        <v>101</v>
      </c>
      <c r="I12" s="44" t="s">
        <v>128</v>
      </c>
      <c r="J12" s="44"/>
      <c r="K12" s="37" t="s">
        <v>19</v>
      </c>
    </row>
    <row r="13" spans="2:11" ht="15" customHeight="1">
      <c r="B13" s="18" t="s">
        <v>104</v>
      </c>
      <c r="C13" s="18"/>
      <c r="D13" s="18"/>
      <c r="E13" s="18"/>
      <c r="F13" s="76">
        <f>SUM(I13/F7)</f>
        <v>0.0020621593754603035</v>
      </c>
      <c r="G13" s="18"/>
      <c r="H13" s="76">
        <f>SUM(I13/H7)</f>
        <v>0.0016497275003682426</v>
      </c>
      <c r="I13" s="53">
        <f>ROUND(Details!F54,0)</f>
        <v>14</v>
      </c>
      <c r="J13" s="53"/>
      <c r="K13" s="21"/>
    </row>
    <row r="14" spans="2:11" ht="15" customHeight="1">
      <c r="B14" s="18" t="s">
        <v>165</v>
      </c>
      <c r="C14" s="18"/>
      <c r="D14" s="18"/>
      <c r="E14" s="18"/>
      <c r="F14" s="76">
        <f>SUM(I14/F7)</f>
        <v>0.004124318750920607</v>
      </c>
      <c r="G14" s="18"/>
      <c r="H14" s="76">
        <f>SUM(I14/H7)</f>
        <v>0.0032994550007364853</v>
      </c>
      <c r="I14" s="53">
        <f>ROUND(Details!F61,0)</f>
        <v>28</v>
      </c>
      <c r="J14" s="53"/>
      <c r="K14" s="21"/>
    </row>
    <row r="15" spans="2:11" ht="15" customHeight="1">
      <c r="B15" s="18" t="s">
        <v>166</v>
      </c>
      <c r="C15" s="18"/>
      <c r="D15" s="18"/>
      <c r="E15" s="18"/>
      <c r="F15" s="79">
        <f>SUM(I15/F7)</f>
        <v>0</v>
      </c>
      <c r="G15" s="18"/>
      <c r="H15" s="79">
        <f>SUM(I15/H7)</f>
        <v>0</v>
      </c>
      <c r="I15" s="65">
        <f>Details!F68</f>
        <v>0</v>
      </c>
      <c r="J15" s="65"/>
      <c r="K15" s="21"/>
    </row>
    <row r="16" spans="2:11" s="66" customFormat="1" ht="15" customHeight="1">
      <c r="B16" s="4" t="s">
        <v>42</v>
      </c>
      <c r="C16" s="4"/>
      <c r="D16" s="4"/>
      <c r="E16" s="4"/>
      <c r="F16" s="86">
        <f>SUM(F13:F15)</f>
        <v>0.0061864781263809105</v>
      </c>
      <c r="G16" s="4"/>
      <c r="H16" s="86">
        <f>SUM(H13:H15)</f>
        <v>0.004949182501104728</v>
      </c>
      <c r="I16" s="40">
        <f>SUM(I13:I15)</f>
        <v>42</v>
      </c>
      <c r="J16" s="40"/>
      <c r="K16" s="87"/>
    </row>
    <row r="17" spans="2:11" ht="15" customHeight="1">
      <c r="B17" s="18" t="s">
        <v>167</v>
      </c>
      <c r="C17" s="18"/>
      <c r="D17" s="18"/>
      <c r="E17" s="18"/>
      <c r="F17" s="79">
        <f>SUM(I17/F7)</f>
        <v>0.00014729709824716454</v>
      </c>
      <c r="G17" s="25"/>
      <c r="H17" s="79">
        <f>SUM(I17/H7)</f>
        <v>0.00011783767859773163</v>
      </c>
      <c r="I17" s="54">
        <f>ROUND(Details!F76,0)</f>
        <v>1</v>
      </c>
      <c r="J17" s="54"/>
      <c r="K17" s="21"/>
    </row>
    <row r="18" spans="2:11" ht="15" customHeight="1">
      <c r="B18" s="19" t="s">
        <v>20</v>
      </c>
      <c r="C18" s="19"/>
      <c r="D18" s="106"/>
      <c r="E18" s="107"/>
      <c r="F18" s="86">
        <f>SUM(F16:F17)</f>
        <v>0.006333775224628075</v>
      </c>
      <c r="G18" s="108"/>
      <c r="H18" s="86">
        <f>SUM(H16:H17)</f>
        <v>0.00506702017970246</v>
      </c>
      <c r="I18" s="40">
        <f>SUM(I16:I17)</f>
        <v>43</v>
      </c>
      <c r="J18" s="40"/>
      <c r="K18" s="21"/>
    </row>
    <row r="19" spans="2:11" ht="15" customHeight="1">
      <c r="B19" s="19"/>
      <c r="C19" s="19"/>
      <c r="D19" s="19"/>
      <c r="E19" s="19"/>
      <c r="F19" s="78"/>
      <c r="G19" s="19"/>
      <c r="H19" s="78"/>
      <c r="I19" s="11"/>
      <c r="J19" s="11"/>
      <c r="K19" s="35"/>
    </row>
    <row r="20" spans="2:11" ht="15" customHeight="1">
      <c r="B20" s="19" t="s">
        <v>102</v>
      </c>
      <c r="C20" s="18"/>
      <c r="D20" s="18"/>
      <c r="E20" s="18"/>
      <c r="F20" s="75"/>
      <c r="G20" s="18"/>
      <c r="H20" s="75"/>
      <c r="I20" s="18"/>
      <c r="J20" s="18"/>
      <c r="K20" s="18"/>
    </row>
    <row r="21" spans="2:11" ht="15" customHeight="1">
      <c r="B21" s="4" t="s">
        <v>3</v>
      </c>
      <c r="C21" s="18"/>
      <c r="D21" s="18"/>
      <c r="E21" s="18"/>
      <c r="F21" s="75"/>
      <c r="G21" s="18"/>
      <c r="H21" s="75"/>
      <c r="I21" s="18"/>
      <c r="J21" s="18"/>
      <c r="K21" s="18"/>
    </row>
    <row r="22" spans="2:11" ht="15" customHeight="1">
      <c r="B22" s="18" t="s">
        <v>4</v>
      </c>
      <c r="C22" s="18"/>
      <c r="D22" s="18"/>
      <c r="E22" s="18"/>
      <c r="F22" s="76">
        <f>SUM(I22/F7)</f>
        <v>0.005302695536897923</v>
      </c>
      <c r="G22" s="18"/>
      <c r="H22" s="76">
        <f>SUM(I22/H7)</f>
        <v>0.004242156429518339</v>
      </c>
      <c r="I22" s="55">
        <f>ROUND(Details!F107,0)</f>
        <v>36</v>
      </c>
      <c r="J22" s="55"/>
      <c r="K22" s="21"/>
    </row>
    <row r="23" spans="2:11" ht="15" customHeight="1">
      <c r="B23" s="18" t="s">
        <v>5</v>
      </c>
      <c r="C23" s="18"/>
      <c r="D23" s="18"/>
      <c r="E23" s="18"/>
      <c r="F23" s="76">
        <f>SUM(I23/F7)</f>
        <v>0.032699955810870526</v>
      </c>
      <c r="G23" s="18"/>
      <c r="H23" s="76">
        <f>SUM(I23/H7)</f>
        <v>0.02615996464869642</v>
      </c>
      <c r="I23" s="55">
        <f>ROUND(Details!F113,0)</f>
        <v>222</v>
      </c>
      <c r="J23" s="55"/>
      <c r="K23" s="21"/>
    </row>
    <row r="24" spans="2:11" ht="15" customHeight="1">
      <c r="B24" s="18"/>
      <c r="C24" s="18"/>
      <c r="D24" s="18"/>
      <c r="E24" s="18"/>
      <c r="F24" s="75"/>
      <c r="G24" s="18"/>
      <c r="H24" s="75"/>
      <c r="I24" s="42"/>
      <c r="J24" s="42"/>
      <c r="K24" s="35"/>
    </row>
    <row r="25" spans="2:11" ht="15" customHeight="1">
      <c r="B25" s="4" t="s">
        <v>6</v>
      </c>
      <c r="C25" s="18"/>
      <c r="D25" s="18"/>
      <c r="E25" s="18"/>
      <c r="F25" s="76" t="s">
        <v>0</v>
      </c>
      <c r="G25" s="18"/>
      <c r="H25" s="76" t="s">
        <v>0</v>
      </c>
      <c r="I25" s="42" t="s">
        <v>0</v>
      </c>
      <c r="J25" s="42"/>
      <c r="K25" s="18"/>
    </row>
    <row r="26" spans="2:11" ht="15" customHeight="1">
      <c r="B26" s="18" t="s">
        <v>7</v>
      </c>
      <c r="C26" s="18"/>
      <c r="D26" s="18"/>
      <c r="E26" s="18"/>
      <c r="F26" s="76">
        <f>SUM(I26/F7)</f>
        <v>0.00162026808071881</v>
      </c>
      <c r="G26" s="18"/>
      <c r="H26" s="76">
        <f>SUM(I26/H7)</f>
        <v>0.0012962144645750479</v>
      </c>
      <c r="I26" s="55">
        <f>ROUND(Details!F122,0)</f>
        <v>11</v>
      </c>
      <c r="J26" s="55"/>
      <c r="K26" s="21"/>
    </row>
    <row r="27" spans="2:11" ht="15" customHeight="1">
      <c r="B27" s="18" t="s">
        <v>8</v>
      </c>
      <c r="C27" s="18"/>
      <c r="D27" s="18"/>
      <c r="E27" s="18"/>
      <c r="F27" s="76">
        <f>SUM(I27/F7)</f>
        <v>0.008395934600088379</v>
      </c>
      <c r="G27" s="18"/>
      <c r="H27" s="76">
        <f>SUM(I27/H7)</f>
        <v>0.006716747680070702</v>
      </c>
      <c r="I27" s="55">
        <f>ROUND(Details!F129,0)</f>
        <v>57</v>
      </c>
      <c r="J27" s="55"/>
      <c r="K27" s="21"/>
    </row>
    <row r="28" spans="2:11" ht="15" customHeight="1">
      <c r="B28" s="18" t="s">
        <v>66</v>
      </c>
      <c r="C28" s="18"/>
      <c r="D28" s="18"/>
      <c r="E28" s="18"/>
      <c r="F28" s="76">
        <f>SUM(I28/F7)</f>
        <v>0</v>
      </c>
      <c r="G28" s="18"/>
      <c r="H28" s="76">
        <f>SUM(I28/H7)</f>
        <v>0</v>
      </c>
      <c r="I28" s="55">
        <f>ROUND(Details!F134,0)</f>
        <v>0</v>
      </c>
      <c r="J28" s="55"/>
      <c r="K28" s="21"/>
    </row>
    <row r="29" spans="2:11" ht="15" customHeight="1">
      <c r="B29" s="19" t="s">
        <v>21</v>
      </c>
      <c r="C29" s="19"/>
      <c r="D29" s="19"/>
      <c r="E29" s="19"/>
      <c r="F29" s="80">
        <f>SUM(F22:F28)</f>
        <v>0.04801885402857564</v>
      </c>
      <c r="G29" s="45"/>
      <c r="H29" s="80">
        <f>SUM(H22:H28)</f>
        <v>0.03841508322286051</v>
      </c>
      <c r="I29" s="46">
        <f>SUM(I22:I28)</f>
        <v>326</v>
      </c>
      <c r="J29" s="46"/>
      <c r="K29" s="21"/>
    </row>
    <row r="30" spans="2:11" ht="15" customHeight="1">
      <c r="B30" s="19" t="s">
        <v>22</v>
      </c>
      <c r="C30" s="19"/>
      <c r="D30" s="19"/>
      <c r="E30" s="19"/>
      <c r="F30" s="77">
        <f>F18+F29</f>
        <v>0.054352629253203714</v>
      </c>
      <c r="G30" s="108"/>
      <c r="H30" s="77">
        <f>H18+H29</f>
        <v>0.04348210340256297</v>
      </c>
      <c r="I30" s="40">
        <f>I18+I29</f>
        <v>369</v>
      </c>
      <c r="J30" s="40"/>
      <c r="K30" s="21"/>
    </row>
    <row r="31" spans="2:11" ht="15" customHeight="1">
      <c r="B31" s="19"/>
      <c r="C31" s="19"/>
      <c r="D31" s="106"/>
      <c r="E31" s="107"/>
      <c r="F31" s="78"/>
      <c r="G31" s="19"/>
      <c r="H31" s="78"/>
      <c r="I31" s="11"/>
      <c r="J31" s="11"/>
      <c r="K31" s="35"/>
    </row>
    <row r="32" spans="2:11" ht="15" customHeight="1">
      <c r="B32" s="19" t="s">
        <v>106</v>
      </c>
      <c r="C32" s="19"/>
      <c r="D32" s="19"/>
      <c r="E32" s="19"/>
      <c r="F32" s="79">
        <f>SUM(I32/F7)</f>
        <v>0</v>
      </c>
      <c r="G32" s="45"/>
      <c r="H32" s="79">
        <f>SUM(I32/H7)</f>
        <v>0</v>
      </c>
      <c r="I32" s="54">
        <f>ROUND(Details!F139,0)</f>
        <v>0</v>
      </c>
      <c r="J32" s="54"/>
      <c r="K32" s="21"/>
    </row>
    <row r="33" spans="2:11" ht="15" customHeight="1">
      <c r="B33" s="19" t="s">
        <v>23</v>
      </c>
      <c r="C33" s="19"/>
      <c r="D33" s="106"/>
      <c r="E33" s="178" t="s">
        <v>174</v>
      </c>
      <c r="F33" s="109">
        <f>F30+F32</f>
        <v>0.054352629253203714</v>
      </c>
      <c r="G33" s="19"/>
      <c r="H33" s="109">
        <f>H30+H32</f>
        <v>0.04348210340256297</v>
      </c>
      <c r="I33" s="40">
        <f>I32+I30</f>
        <v>369</v>
      </c>
      <c r="J33" s="40"/>
      <c r="K33" s="21"/>
    </row>
    <row r="34" spans="2:11" ht="15" customHeight="1">
      <c r="B34" s="178" t="s">
        <v>175</v>
      </c>
      <c r="C34" s="19"/>
      <c r="D34" s="106"/>
      <c r="E34" s="178"/>
      <c r="F34" s="109"/>
      <c r="G34" s="19"/>
      <c r="H34" s="109"/>
      <c r="I34" s="40"/>
      <c r="J34" s="40"/>
      <c r="K34" s="35"/>
    </row>
    <row r="35" spans="2:11" ht="15" customHeight="1">
      <c r="B35" s="19" t="s">
        <v>176</v>
      </c>
      <c r="D35" s="106"/>
      <c r="E35" s="178" t="s">
        <v>173</v>
      </c>
      <c r="F35" s="109">
        <f>SUM(F33*1000000/3413)</f>
        <v>15.925177044595285</v>
      </c>
      <c r="G35" s="19"/>
      <c r="H35" s="109">
        <f>SUM(H33*1000000/3413)</f>
        <v>12.74014163567623</v>
      </c>
      <c r="I35" s="40">
        <f>I32+I30</f>
        <v>369</v>
      </c>
      <c r="J35" s="40"/>
      <c r="K35" s="21"/>
    </row>
    <row r="36" spans="2:11" ht="15" customHeight="1" thickBot="1">
      <c r="B36" s="34"/>
      <c r="C36" s="34"/>
      <c r="D36" s="34"/>
      <c r="E36" s="34"/>
      <c r="F36" s="81"/>
      <c r="G36" s="34"/>
      <c r="H36" s="38"/>
      <c r="I36" s="34"/>
      <c r="J36" s="34"/>
      <c r="K36" s="34"/>
    </row>
    <row r="37" spans="2:11" ht="15" customHeight="1" thickTop="1">
      <c r="B37" s="19" t="s">
        <v>109</v>
      </c>
      <c r="C37" s="18"/>
      <c r="D37" s="18"/>
      <c r="E37" s="8" t="s">
        <v>134</v>
      </c>
      <c r="F37" s="228" t="str">
        <f>F44</f>
        <v>6,789 kWHr per year</v>
      </c>
      <c r="G37" s="228"/>
      <c r="H37" s="228" t="str">
        <f>H44</f>
        <v>8,486 kWHr per year</v>
      </c>
      <c r="I37" s="228"/>
      <c r="J37" s="147"/>
      <c r="K37" s="18"/>
    </row>
    <row r="38" spans="2:11" ht="15" customHeight="1">
      <c r="B38" s="19"/>
      <c r="C38" s="18"/>
      <c r="D38" s="18"/>
      <c r="J38" s="148"/>
      <c r="K38" s="18"/>
    </row>
    <row r="39" spans="2:11" ht="15" customHeight="1">
      <c r="B39" s="19" t="s">
        <v>92</v>
      </c>
      <c r="C39" s="18"/>
      <c r="D39" s="18"/>
      <c r="E39" s="18"/>
      <c r="F39" s="160" t="s">
        <v>125</v>
      </c>
      <c r="G39" s="159" t="s">
        <v>14</v>
      </c>
      <c r="H39" s="160" t="s">
        <v>125</v>
      </c>
      <c r="I39" s="159" t="s">
        <v>14</v>
      </c>
      <c r="J39" s="146"/>
      <c r="K39" s="18"/>
    </row>
    <row r="40" spans="2:11" ht="15" customHeight="1">
      <c r="B40" s="18" t="s">
        <v>113</v>
      </c>
      <c r="C40" s="18"/>
      <c r="D40" s="18"/>
      <c r="E40" s="18"/>
      <c r="F40" s="86">
        <f>SUM(G40/F7)</f>
        <v>0.089609</v>
      </c>
      <c r="G40" s="158">
        <f>Details!F147</f>
        <v>608.355501</v>
      </c>
      <c r="H40" s="86">
        <f>SUM(I40/H7)</f>
        <v>0.089609</v>
      </c>
      <c r="I40" s="158">
        <f>Details!F154</f>
        <v>760.44437625</v>
      </c>
      <c r="J40" s="54"/>
      <c r="K40" s="21"/>
    </row>
    <row r="41" spans="2:11" ht="15" customHeight="1">
      <c r="B41" s="19"/>
      <c r="C41" s="19"/>
      <c r="D41" s="19"/>
      <c r="E41" s="19"/>
      <c r="F41" s="77"/>
      <c r="G41" s="24"/>
      <c r="H41" s="40"/>
      <c r="I41" s="33"/>
      <c r="J41" s="33"/>
      <c r="K41" s="35"/>
    </row>
    <row r="42" spans="2:11" ht="15" customHeight="1">
      <c r="B42" s="19" t="s">
        <v>90</v>
      </c>
      <c r="C42" s="19"/>
      <c r="D42" s="19"/>
      <c r="E42" s="19"/>
      <c r="F42" s="205">
        <f>F40-F33</f>
        <v>0.03525637074679628</v>
      </c>
      <c r="G42" s="204">
        <f>G40-I33</f>
        <v>239.355501</v>
      </c>
      <c r="H42" s="205">
        <f>H40-H33</f>
        <v>0.046126896597437024</v>
      </c>
      <c r="I42" s="204">
        <f>I40-I33</f>
        <v>391.44437625</v>
      </c>
      <c r="J42" s="68"/>
      <c r="K42" s="21"/>
    </row>
    <row r="43" spans="2:11" ht="15" customHeight="1" thickBot="1">
      <c r="B43" s="34"/>
      <c r="C43" s="34"/>
      <c r="D43" s="34"/>
      <c r="E43" s="34"/>
      <c r="F43" s="81"/>
      <c r="G43" s="34"/>
      <c r="H43" s="38"/>
      <c r="I43" s="34"/>
      <c r="J43" s="34"/>
      <c r="K43" s="34"/>
    </row>
    <row r="44" spans="2:11" ht="15" customHeight="1" thickTop="1">
      <c r="B44" s="35"/>
      <c r="C44" s="35"/>
      <c r="D44" s="35"/>
      <c r="E44" s="8" t="s">
        <v>134</v>
      </c>
      <c r="F44" s="228" t="str">
        <f>TEXT(ROUND(F7,0),"#,###")&amp;" kWHr per year"</f>
        <v>6,789 kWHr per year</v>
      </c>
      <c r="G44" s="228"/>
      <c r="H44" s="228" t="str">
        <f>TEXT(ROUND(H7,0),"#,###")&amp;" kWHr per year"</f>
        <v>8,486 kWHr per year</v>
      </c>
      <c r="I44" s="228"/>
      <c r="J44" s="35"/>
      <c r="K44" s="35"/>
    </row>
    <row r="45" spans="2:11" ht="15" customHeight="1">
      <c r="B45" s="4" t="s">
        <v>9</v>
      </c>
      <c r="C45" s="18"/>
      <c r="D45" s="18"/>
      <c r="E45" s="18"/>
      <c r="F45" s="207" t="s">
        <v>110</v>
      </c>
      <c r="G45" s="18"/>
      <c r="H45" s="207" t="s">
        <v>110</v>
      </c>
      <c r="I45" s="145"/>
      <c r="J45" s="145"/>
      <c r="K45" s="145"/>
    </row>
    <row r="46" spans="2:11" ht="15" customHeight="1">
      <c r="B46" s="18" t="s">
        <v>24</v>
      </c>
      <c r="C46" s="18"/>
      <c r="D46" s="18"/>
      <c r="E46" s="18"/>
      <c r="F46" s="82">
        <f>SUM((I18)/(F7))</f>
        <v>0.006333775224628075</v>
      </c>
      <c r="G46" s="18"/>
      <c r="H46" s="82">
        <f>SUM((I18)/(H7))</f>
        <v>0.00506702017970246</v>
      </c>
      <c r="I46" s="29"/>
      <c r="J46" s="29"/>
      <c r="K46" s="21"/>
    </row>
    <row r="47" spans="2:11" ht="15" customHeight="1">
      <c r="B47" s="18" t="s">
        <v>55</v>
      </c>
      <c r="C47" s="18"/>
      <c r="D47" s="18"/>
      <c r="E47" s="18"/>
      <c r="F47" s="82">
        <f>SUM((I18+I32)/(F7))</f>
        <v>0.006333775224628075</v>
      </c>
      <c r="G47" s="18"/>
      <c r="H47" s="82">
        <f>SUM((I18+I32)/(H7))</f>
        <v>0.00506702017970246</v>
      </c>
      <c r="I47" s="29"/>
      <c r="J47" s="29"/>
      <c r="K47" s="21"/>
    </row>
    <row r="48" spans="2:11" ht="15" customHeight="1">
      <c r="B48" s="18" t="s">
        <v>56</v>
      </c>
      <c r="C48" s="18"/>
      <c r="D48" s="18"/>
      <c r="E48" s="18"/>
      <c r="F48" s="82">
        <f>SUM((I18+I29)/(F7))</f>
        <v>0.054352629253203714</v>
      </c>
      <c r="G48" s="18"/>
      <c r="H48" s="82">
        <f>SUM((I18+I29)/(H7))</f>
        <v>0.04348210340256297</v>
      </c>
      <c r="I48" s="29"/>
      <c r="J48" s="29"/>
      <c r="K48" s="21"/>
    </row>
    <row r="49" spans="2:11" ht="15" customHeight="1">
      <c r="B49" s="18" t="s">
        <v>57</v>
      </c>
      <c r="C49" s="18"/>
      <c r="D49" s="18"/>
      <c r="E49" s="18"/>
      <c r="F49" s="82">
        <f>SUM((I30+I32)/(F7))</f>
        <v>0.054352629253203714</v>
      </c>
      <c r="G49" s="18"/>
      <c r="H49" s="82">
        <f>SUM((I30+I32)/(H7))</f>
        <v>0.04348210340256297</v>
      </c>
      <c r="I49" s="29"/>
      <c r="J49" s="29"/>
      <c r="K49" s="110"/>
    </row>
    <row r="50" spans="2:11" ht="15" customHeight="1">
      <c r="B50" s="47" t="s">
        <v>135</v>
      </c>
      <c r="C50" s="35"/>
      <c r="D50" s="35"/>
      <c r="E50" s="35"/>
      <c r="F50" s="83"/>
      <c r="G50" s="35"/>
      <c r="H50" s="35"/>
      <c r="I50" s="35"/>
      <c r="J50" s="35"/>
      <c r="K50" s="35"/>
    </row>
    <row r="51" spans="2:11" ht="15" customHeight="1">
      <c r="B51" s="47"/>
      <c r="C51" s="35"/>
      <c r="D51" s="35"/>
      <c r="E51" s="35"/>
      <c r="F51" s="83"/>
      <c r="G51" s="35"/>
      <c r="H51" s="35"/>
      <c r="I51" s="35"/>
      <c r="J51" s="35"/>
      <c r="K51" s="35"/>
    </row>
    <row r="52" spans="2:11" ht="15" customHeight="1">
      <c r="B52" s="4" t="s">
        <v>114</v>
      </c>
      <c r="C52" s="35"/>
      <c r="D52" s="35"/>
      <c r="E52" s="35"/>
      <c r="F52" s="83"/>
      <c r="G52" s="35"/>
      <c r="H52" s="35"/>
      <c r="I52" s="35"/>
      <c r="J52" s="35"/>
      <c r="K52" s="35"/>
    </row>
    <row r="53" spans="2:11" ht="16.5" customHeight="1">
      <c r="B53" s="126" t="s">
        <v>141</v>
      </c>
      <c r="C53" s="35"/>
      <c r="D53" s="35"/>
      <c r="F53" s="119">
        <f>Details!F186</f>
        <v>0.10863491089285714</v>
      </c>
      <c r="G53" s="35" t="s">
        <v>148</v>
      </c>
      <c r="H53" s="119">
        <f>Details!F191</f>
        <v>0.13579363861607144</v>
      </c>
      <c r="I53" s="35"/>
      <c r="J53" s="35"/>
      <c r="K53" s="35"/>
    </row>
    <row r="54" spans="2:11" ht="16.5" customHeight="1">
      <c r="B54" s="18" t="str">
        <f>"       with "&amp;Input!E22&amp;"% annual MB Hydro rate inflation"</f>
        <v>       with 3.5% annual MB Hydro rate inflation</v>
      </c>
      <c r="C54" s="35"/>
      <c r="D54" s="35"/>
      <c r="F54" s="161">
        <f>Details!F196</f>
        <v>0.1623977233855342</v>
      </c>
      <c r="G54" s="35" t="s">
        <v>149</v>
      </c>
      <c r="H54" s="119">
        <f>Details!F201</f>
        <v>0.20299715423191778</v>
      </c>
      <c r="I54" s="35"/>
      <c r="J54" s="35"/>
      <c r="K54" s="35"/>
    </row>
    <row r="55" spans="2:11" ht="15" customHeight="1">
      <c r="B55" s="35"/>
      <c r="C55" s="35"/>
      <c r="D55" s="35"/>
      <c r="E55" s="35"/>
      <c r="F55" s="83"/>
      <c r="G55" s="35"/>
      <c r="H55" s="112"/>
      <c r="I55" s="35"/>
      <c r="J55" s="35"/>
      <c r="K55" s="35"/>
    </row>
    <row r="56" spans="2:11" ht="15" customHeight="1">
      <c r="B56" s="4" t="s">
        <v>120</v>
      </c>
      <c r="C56" s="18"/>
      <c r="D56" s="18"/>
      <c r="E56" s="18"/>
      <c r="F56" s="74"/>
      <c r="G56" s="18"/>
      <c r="H56" s="92"/>
      <c r="I56" s="18"/>
      <c r="J56" s="18"/>
      <c r="K56" s="18"/>
    </row>
    <row r="57" spans="2:11" ht="16.5" customHeight="1">
      <c r="B57" s="18" t="s">
        <v>144</v>
      </c>
      <c r="C57" s="35"/>
      <c r="D57" s="35"/>
      <c r="E57" s="35"/>
      <c r="F57" s="114">
        <f>Details!F207</f>
        <v>9.205144016606829</v>
      </c>
      <c r="G57" s="35" t="s">
        <v>119</v>
      </c>
      <c r="H57" s="177">
        <f>Details!F212</f>
        <v>7.364115213285463</v>
      </c>
      <c r="I57" s="35" t="s">
        <v>145</v>
      </c>
      <c r="J57" s="35"/>
      <c r="K57" s="35"/>
    </row>
    <row r="58" spans="2:11" ht="16.5" customHeight="1">
      <c r="B58" s="18" t="str">
        <f>"    B. With "&amp;Input!E22&amp;"% annual MB Hydro rate inflation"</f>
        <v>    B. With 3.5% annual MB Hydro rate inflation</v>
      </c>
      <c r="C58" s="35"/>
      <c r="D58" s="35"/>
      <c r="E58" s="35"/>
      <c r="F58" s="166">
        <f>Details!F217</f>
        <v>6.157721790384878</v>
      </c>
      <c r="G58" s="35" t="s">
        <v>121</v>
      </c>
      <c r="H58" s="167">
        <f>Details!F222</f>
        <v>4.926177432307902</v>
      </c>
      <c r="I58" s="35" t="s">
        <v>145</v>
      </c>
      <c r="J58" s="35"/>
      <c r="K58" s="35"/>
    </row>
    <row r="59" spans="2:11" ht="15" customHeight="1">
      <c r="B59" s="18"/>
      <c r="C59" s="35"/>
      <c r="D59" s="35"/>
      <c r="E59" s="35"/>
      <c r="F59" s="166"/>
      <c r="G59" s="35"/>
      <c r="H59" s="167"/>
      <c r="I59" s="35"/>
      <c r="J59" s="35"/>
      <c r="K59" s="35"/>
    </row>
    <row r="60" spans="2:11" ht="15" customHeight="1">
      <c r="B60" s="4" t="str">
        <f>"Desired Simple Payback = "&amp;Input!E35&amp;" Years"</f>
        <v>Desired Simple Payback = 10 Years</v>
      </c>
      <c r="C60" s="35"/>
      <c r="D60" s="35"/>
      <c r="E60" s="35"/>
      <c r="F60" s="166"/>
      <c r="G60" s="35"/>
      <c r="H60" s="167"/>
      <c r="I60" s="35"/>
      <c r="J60" s="35"/>
      <c r="K60" s="35"/>
    </row>
    <row r="61" spans="2:11" ht="16.5" customHeight="1">
      <c r="B61" s="35" t="s">
        <v>147</v>
      </c>
      <c r="C61" s="35"/>
      <c r="D61" s="35"/>
      <c r="E61" s="35"/>
      <c r="F61" s="113">
        <f>SUM(Input!E35*Details!F147)</f>
        <v>6083.55501</v>
      </c>
      <c r="G61" s="35" t="s">
        <v>148</v>
      </c>
      <c r="H61" s="113">
        <f>SUM(Input!E35*Details!F154)</f>
        <v>7604.4437625</v>
      </c>
      <c r="I61" s="35"/>
      <c r="J61" s="35"/>
      <c r="K61" s="35"/>
    </row>
    <row r="62" spans="2:11" ht="16.5" customHeight="1">
      <c r="B62" s="18" t="str">
        <f>"    D. Max. Capital Cost w/ "&amp;Input!E22&amp;"% Hydro inflation"</f>
        <v>    D. Max. Capital Cost w/ 3.5% Hydro inflation</v>
      </c>
      <c r="C62" s="35"/>
      <c r="D62" s="35"/>
      <c r="E62" s="35"/>
      <c r="F62" s="113">
        <f>SUM(Input!E35*Details!F173)</f>
        <v>9094.272509589917</v>
      </c>
      <c r="G62" s="35" t="s">
        <v>149</v>
      </c>
      <c r="H62" s="113">
        <f>SUM(Input!E35*Details!F180)</f>
        <v>11367.840636987396</v>
      </c>
      <c r="I62" s="35"/>
      <c r="J62" s="35"/>
      <c r="K62" s="35"/>
    </row>
    <row r="63" spans="2:11" ht="15" customHeight="1" thickBot="1">
      <c r="B63" s="34"/>
      <c r="C63" s="34"/>
      <c r="D63" s="34"/>
      <c r="E63" s="34"/>
      <c r="F63" s="169"/>
      <c r="G63" s="34"/>
      <c r="H63" s="38"/>
      <c r="I63" s="34"/>
      <c r="J63" s="34"/>
      <c r="K63" s="34"/>
    </row>
    <row r="64" spans="2:11" ht="15" customHeight="1" thickTop="1">
      <c r="B64" s="115" t="str">
        <f>"1. Based on Hydro rate @ $"&amp;Input!E19&amp;" per kWh plus PST &amp; GST."</f>
        <v>1. Based on Hydro rate @ $0.0793 per kWh plus PST &amp; GST.</v>
      </c>
      <c r="C64" s="35"/>
      <c r="D64" s="35"/>
      <c r="E64" s="35"/>
      <c r="F64" s="83"/>
      <c r="G64" s="35"/>
      <c r="H64" s="112"/>
      <c r="I64" s="35"/>
      <c r="J64" s="35"/>
      <c r="K64" s="35"/>
    </row>
    <row r="65" spans="2:11" ht="15" customHeight="1">
      <c r="B65" s="115" t="str">
        <f>"2. Based on "&amp;Input!E34&amp;" year average Hydro rate @ $"&amp;ROUND((Input!E19+((FV((Input!E22/100),Input!E34,0,-Input!E19)-Input!E19)/2)),3)&amp;" per kWh plus PST &amp; GST."</f>
        <v>2. Based on 20 year average Hydro rate @ $0.119 per kWh plus PST &amp; GST.</v>
      </c>
      <c r="C65" s="35"/>
      <c r="D65" s="35"/>
      <c r="E65" s="35"/>
      <c r="F65" s="83"/>
      <c r="G65" s="35"/>
      <c r="H65" s="112"/>
      <c r="I65" s="35"/>
      <c r="J65" s="35"/>
      <c r="K65" s="35"/>
    </row>
    <row r="66" spans="2:11" ht="15" customHeight="1">
      <c r="B66" s="115"/>
      <c r="C66" s="35"/>
      <c r="D66" s="35"/>
      <c r="E66" s="35"/>
      <c r="F66" s="83"/>
      <c r="G66" s="35"/>
      <c r="H66" s="112"/>
      <c r="I66" s="35"/>
      <c r="J66" s="35"/>
      <c r="K66" s="35"/>
    </row>
    <row r="67" spans="2:11" ht="15" customHeight="1">
      <c r="B67" s="226" t="s">
        <v>54</v>
      </c>
      <c r="C67" s="227"/>
      <c r="D67" s="227"/>
      <c r="E67" s="227"/>
      <c r="F67" s="227"/>
      <c r="G67" s="227"/>
      <c r="H67" s="227"/>
      <c r="I67" s="227"/>
      <c r="J67" s="227"/>
      <c r="K67" s="227"/>
    </row>
    <row r="68" spans="2:11" ht="15" customHeight="1">
      <c r="B68" s="227"/>
      <c r="C68" s="227"/>
      <c r="D68" s="227"/>
      <c r="E68" s="227"/>
      <c r="F68" s="227"/>
      <c r="G68" s="227"/>
      <c r="H68" s="227"/>
      <c r="I68" s="227"/>
      <c r="J68" s="227"/>
      <c r="K68" s="227"/>
    </row>
    <row r="69" spans="2:11" ht="15" customHeight="1">
      <c r="B69" s="227"/>
      <c r="C69" s="227"/>
      <c r="D69" s="227"/>
      <c r="E69" s="227"/>
      <c r="F69" s="227"/>
      <c r="G69" s="227"/>
      <c r="H69" s="227"/>
      <c r="I69" s="227"/>
      <c r="J69" s="227"/>
      <c r="K69" s="227"/>
    </row>
    <row r="70" ht="15" customHeight="1">
      <c r="F70" s="127"/>
    </row>
  </sheetData>
  <sheetProtection password="C6A6" sheet="1" objects="1" scenarios="1"/>
  <mergeCells count="7">
    <mergeCell ref="B4:K4"/>
    <mergeCell ref="B2:K2"/>
    <mergeCell ref="B67:K69"/>
    <mergeCell ref="F37:G37"/>
    <mergeCell ref="H37:I37"/>
    <mergeCell ref="F44:G44"/>
    <mergeCell ref="H44:I44"/>
  </mergeCells>
  <printOptions horizontalCentered="1" verticalCentered="1"/>
  <pageMargins left="0.748031496062992" right="0.748031496062992" top="0.73" bottom="0.86" header="0.511811023622047" footer="0.511811023622047"/>
  <pageSetup firstPageNumber="2" useFirstPageNumber="1" fitToHeight="1" fitToWidth="1" horizontalDpi="600" verticalDpi="600" orientation="portrait" scale="66" r:id="rId1"/>
  <headerFooter alignWithMargins="0">
    <oddHeader>&amp;L&amp;9Guidelines: On-Farm Solar PV Energy Production Costs&amp;R&amp;P</oddHeader>
    <oddFooter>&amp;R&amp;"Arial,Italic"&amp;9Manitoba Agriculture</oddFooter>
  </headerFooter>
  <ignoredErrors>
    <ignoredError sqref="G40 G42" formula="1"/>
  </ignoredErrors>
</worksheet>
</file>

<file path=xl/worksheets/sheet3.xml><?xml version="1.0" encoding="utf-8"?>
<worksheet xmlns="http://schemas.openxmlformats.org/spreadsheetml/2006/main" xmlns:r="http://schemas.openxmlformats.org/officeDocument/2006/relationships">
  <sheetPr codeName="Sheet1">
    <pageSetUpPr fitToPage="1"/>
  </sheetPr>
  <dimension ref="A2:J60"/>
  <sheetViews>
    <sheetView showGridLines="0" workbookViewId="0" topLeftCell="A1">
      <selection activeCell="A2" sqref="A2:I2"/>
    </sheetView>
  </sheetViews>
  <sheetFormatPr defaultColWidth="9.77734375" defaultRowHeight="15"/>
  <cols>
    <col min="1" max="1" width="12.6640625" style="3" customWidth="1"/>
    <col min="2" max="2" width="8.6640625" style="3" customWidth="1"/>
    <col min="3" max="3" width="8.5546875" style="3" customWidth="1"/>
    <col min="4" max="4" width="10.3359375" style="3" customWidth="1"/>
    <col min="5" max="5" width="11.21484375" style="3" customWidth="1"/>
    <col min="6" max="6" width="7.88671875" style="3" customWidth="1"/>
    <col min="7" max="7" width="6.21484375" style="3" customWidth="1"/>
    <col min="8" max="8" width="8.99609375" style="3" customWidth="1"/>
    <col min="9" max="9" width="8.4453125" style="3" customWidth="1"/>
  </cols>
  <sheetData>
    <row r="2" spans="1:9" ht="18">
      <c r="A2" s="229" t="s">
        <v>186</v>
      </c>
      <c r="B2" s="230"/>
      <c r="C2" s="230"/>
      <c r="D2" s="230"/>
      <c r="E2" s="230"/>
      <c r="F2" s="230"/>
      <c r="G2" s="230"/>
      <c r="H2" s="230"/>
      <c r="I2" s="230"/>
    </row>
    <row r="4" ht="15.75">
      <c r="A4" s="4" t="s">
        <v>27</v>
      </c>
    </row>
    <row r="6" spans="1:10" ht="15">
      <c r="A6" s="18" t="s">
        <v>182</v>
      </c>
      <c r="J6" s="26"/>
    </row>
    <row r="7" spans="1:10" ht="15">
      <c r="A7" s="3" t="s">
        <v>46</v>
      </c>
      <c r="J7" s="26"/>
    </row>
    <row r="8" spans="1:10" ht="15">
      <c r="A8" s="18" t="s">
        <v>210</v>
      </c>
      <c r="J8" s="26"/>
    </row>
    <row r="9" spans="1:10" s="211" customFormat="1" ht="15.75">
      <c r="A9" s="236" t="s">
        <v>211</v>
      </c>
      <c r="B9" s="236"/>
      <c r="C9" s="236"/>
      <c r="D9" s="236"/>
      <c r="E9" s="236"/>
      <c r="F9" s="209" t="s">
        <v>212</v>
      </c>
      <c r="G9" s="209"/>
      <c r="H9" s="210"/>
      <c r="J9" s="212"/>
    </row>
    <row r="10" spans="1:10" ht="15">
      <c r="A10" s="18" t="s">
        <v>183</v>
      </c>
      <c r="J10" s="26"/>
    </row>
    <row r="11" spans="1:10" ht="15">
      <c r="A11" s="18" t="s">
        <v>187</v>
      </c>
      <c r="J11" s="26"/>
    </row>
    <row r="13" spans="1:8" ht="15.75">
      <c r="A13" s="4" t="s">
        <v>188</v>
      </c>
      <c r="E13" s="64"/>
      <c r="H13" s="6"/>
    </row>
    <row r="14" spans="1:8" ht="15.75">
      <c r="A14" s="18" t="s">
        <v>189</v>
      </c>
      <c r="E14" s="173">
        <v>310</v>
      </c>
      <c r="H14" s="7"/>
    </row>
    <row r="15" spans="1:8" ht="15.75">
      <c r="A15" s="18" t="s">
        <v>152</v>
      </c>
      <c r="E15" s="173">
        <v>15</v>
      </c>
      <c r="H15" s="7"/>
    </row>
    <row r="16" spans="1:8" ht="18.75">
      <c r="A16" s="18" t="s">
        <v>150</v>
      </c>
      <c r="E16" s="171">
        <v>5</v>
      </c>
      <c r="G16" s="208"/>
      <c r="H16" s="49"/>
    </row>
    <row r="17" spans="1:8" ht="18.75">
      <c r="A17" s="18" t="s">
        <v>151</v>
      </c>
      <c r="E17" s="172">
        <v>4</v>
      </c>
      <c r="H17" s="49"/>
    </row>
    <row r="18" spans="1:8" ht="15.75">
      <c r="A18" s="235" t="s">
        <v>208</v>
      </c>
      <c r="B18" s="235"/>
      <c r="C18" s="235"/>
      <c r="E18" s="142">
        <v>4650</v>
      </c>
      <c r="H18" s="49"/>
    </row>
    <row r="19" spans="1:8" ht="15.75">
      <c r="A19" s="3" t="s">
        <v>94</v>
      </c>
      <c r="E19" s="188">
        <v>0.0793</v>
      </c>
      <c r="F19" s="3" t="s">
        <v>60</v>
      </c>
      <c r="H19" s="49"/>
    </row>
    <row r="20" spans="1:8" ht="15.75">
      <c r="A20" s="3" t="s">
        <v>115</v>
      </c>
      <c r="E20" s="100">
        <v>8</v>
      </c>
      <c r="F20" s="3" t="s">
        <v>33</v>
      </c>
      <c r="H20" s="49"/>
    </row>
    <row r="21" spans="1:8" ht="15.75">
      <c r="A21" s="3" t="s">
        <v>116</v>
      </c>
      <c r="E21" s="100">
        <v>5</v>
      </c>
      <c r="F21" s="3" t="s">
        <v>33</v>
      </c>
      <c r="H21" s="49"/>
    </row>
    <row r="22" spans="1:8" ht="15.75">
      <c r="A22" s="3" t="s">
        <v>122</v>
      </c>
      <c r="E22" s="134">
        <v>3.5</v>
      </c>
      <c r="F22" s="3" t="s">
        <v>33</v>
      </c>
      <c r="H22" s="49"/>
    </row>
    <row r="23" spans="5:8" ht="15.75">
      <c r="E23" s="93"/>
      <c r="H23" s="49"/>
    </row>
    <row r="24" ht="15.75">
      <c r="A24" s="4" t="s">
        <v>37</v>
      </c>
    </row>
    <row r="25" spans="1:8" ht="15.75">
      <c r="A25" s="3" t="s">
        <v>61</v>
      </c>
      <c r="E25" s="116">
        <v>0.25</v>
      </c>
      <c r="F25" s="3" t="s">
        <v>33</v>
      </c>
      <c r="H25" s="49"/>
    </row>
    <row r="26" spans="1:8" ht="15.75">
      <c r="A26" s="3" t="s">
        <v>59</v>
      </c>
      <c r="E26" s="99">
        <v>20</v>
      </c>
      <c r="F26" s="3" t="s">
        <v>58</v>
      </c>
      <c r="H26" s="49"/>
    </row>
    <row r="27" spans="1:8" ht="15.75">
      <c r="A27" s="3" t="s">
        <v>108</v>
      </c>
      <c r="E27" s="116">
        <v>0</v>
      </c>
      <c r="H27" s="48"/>
    </row>
    <row r="28" spans="1:8" ht="15.75">
      <c r="A28" s="3" t="s">
        <v>62</v>
      </c>
      <c r="E28" s="101">
        <v>0.5</v>
      </c>
      <c r="F28" s="3" t="s">
        <v>33</v>
      </c>
      <c r="H28" s="49"/>
    </row>
    <row r="29" spans="1:8" ht="15.75">
      <c r="A29" s="18" t="s">
        <v>63</v>
      </c>
      <c r="E29" s="101">
        <v>0</v>
      </c>
      <c r="F29" s="3" t="s">
        <v>33</v>
      </c>
      <c r="H29" s="49"/>
    </row>
    <row r="30" spans="5:8" ht="15">
      <c r="E30" s="13"/>
      <c r="H30" s="13"/>
    </row>
    <row r="31" spans="1:6" ht="15.75">
      <c r="A31" s="3" t="s">
        <v>67</v>
      </c>
      <c r="E31" s="135">
        <v>2.25</v>
      </c>
      <c r="F31" s="3" t="s">
        <v>33</v>
      </c>
    </row>
    <row r="32" spans="1:6" ht="15.75">
      <c r="A32" s="3" t="s">
        <v>68</v>
      </c>
      <c r="E32" s="135">
        <v>4.5</v>
      </c>
      <c r="F32" s="3" t="s">
        <v>33</v>
      </c>
    </row>
    <row r="33" ht="15.75">
      <c r="E33" s="101"/>
    </row>
    <row r="34" spans="1:8" ht="15.75">
      <c r="A34" s="18" t="s">
        <v>190</v>
      </c>
      <c r="E34" s="141">
        <v>20</v>
      </c>
      <c r="F34" s="3" t="s">
        <v>112</v>
      </c>
      <c r="H34" s="49"/>
    </row>
    <row r="35" spans="1:8" ht="15.75">
      <c r="A35" s="3" t="s">
        <v>111</v>
      </c>
      <c r="E35" s="134">
        <v>10</v>
      </c>
      <c r="F35" s="3" t="s">
        <v>112</v>
      </c>
      <c r="H35" s="49"/>
    </row>
    <row r="36" spans="4:9" ht="15">
      <c r="D36" s="3" t="s">
        <v>0</v>
      </c>
      <c r="E36" s="5" t="s">
        <v>0</v>
      </c>
      <c r="H36" s="5"/>
      <c r="I36" s="3" t="s">
        <v>0</v>
      </c>
    </row>
    <row r="37" spans="1:10" ht="15.75">
      <c r="A37" s="4" t="s">
        <v>28</v>
      </c>
      <c r="J37" s="59"/>
    </row>
    <row r="38" spans="1:9" ht="15.75">
      <c r="A38" s="4" t="s">
        <v>64</v>
      </c>
      <c r="D38" s="36" t="s">
        <v>40</v>
      </c>
      <c r="E38" s="8"/>
      <c r="F38" s="233" t="s">
        <v>41</v>
      </c>
      <c r="G38" s="234"/>
      <c r="H38" s="231" t="s">
        <v>29</v>
      </c>
      <c r="I38" s="232"/>
    </row>
    <row r="39" spans="1:9" ht="15.75">
      <c r="A39" s="18" t="s">
        <v>153</v>
      </c>
      <c r="D39" s="132">
        <v>600</v>
      </c>
      <c r="E39" s="125"/>
      <c r="F39" s="124">
        <v>30</v>
      </c>
      <c r="G39" s="18" t="s">
        <v>33</v>
      </c>
      <c r="H39" s="137">
        <v>20</v>
      </c>
      <c r="I39" s="3" t="s">
        <v>38</v>
      </c>
    </row>
    <row r="40" spans="1:9" ht="15.75">
      <c r="A40" s="18" t="s">
        <v>154</v>
      </c>
      <c r="D40" s="136">
        <v>250</v>
      </c>
      <c r="E40" s="50"/>
      <c r="F40" s="102">
        <v>0</v>
      </c>
      <c r="G40" s="18" t="s">
        <v>33</v>
      </c>
      <c r="H40" s="138">
        <v>20</v>
      </c>
      <c r="I40" s="3" t="s">
        <v>38</v>
      </c>
    </row>
    <row r="41" spans="1:9" ht="15.75">
      <c r="A41" s="4" t="s">
        <v>48</v>
      </c>
      <c r="D41" s="94">
        <f>SUM(D39:D40)</f>
        <v>850</v>
      </c>
      <c r="E41" s="11"/>
      <c r="F41" s="95">
        <f>AVERAGE(F39:F40)</f>
        <v>15</v>
      </c>
      <c r="G41" s="18" t="s">
        <v>33</v>
      </c>
      <c r="H41" s="95">
        <f>AVERAGE(H39:H40)</f>
        <v>20</v>
      </c>
      <c r="I41" s="3" t="s">
        <v>38</v>
      </c>
    </row>
    <row r="42" spans="7:9" ht="15">
      <c r="G42" s="3" t="s">
        <v>0</v>
      </c>
      <c r="I42" s="3" t="s">
        <v>0</v>
      </c>
    </row>
    <row r="43" ht="15.75">
      <c r="A43" s="4" t="s">
        <v>18</v>
      </c>
    </row>
    <row r="44" spans="1:9" ht="15.75">
      <c r="A44" s="18" t="s">
        <v>203</v>
      </c>
      <c r="D44" s="140">
        <v>8500</v>
      </c>
      <c r="E44" s="7"/>
      <c r="F44" s="98">
        <v>10</v>
      </c>
      <c r="G44" s="18" t="s">
        <v>33</v>
      </c>
      <c r="H44" s="139">
        <v>20</v>
      </c>
      <c r="I44" s="3" t="s">
        <v>38</v>
      </c>
    </row>
    <row r="45" spans="1:9" ht="15.75">
      <c r="A45" s="18" t="s">
        <v>205</v>
      </c>
      <c r="D45" s="140">
        <v>300</v>
      </c>
      <c r="E45" s="7"/>
      <c r="F45" s="98">
        <v>10</v>
      </c>
      <c r="G45" s="18" t="s">
        <v>33</v>
      </c>
      <c r="H45" s="139">
        <v>20</v>
      </c>
      <c r="I45" s="3" t="s">
        <v>38</v>
      </c>
    </row>
    <row r="46" spans="1:9" ht="15.75">
      <c r="A46" s="18" t="s">
        <v>204</v>
      </c>
      <c r="D46" s="132">
        <v>600</v>
      </c>
      <c r="E46" s="10"/>
      <c r="F46" s="102">
        <v>0</v>
      </c>
      <c r="G46" s="18" t="s">
        <v>33</v>
      </c>
      <c r="H46" s="138">
        <v>20</v>
      </c>
      <c r="I46" s="3" t="s">
        <v>38</v>
      </c>
    </row>
    <row r="47" spans="1:8" ht="15.75">
      <c r="A47" s="3" t="s">
        <v>124</v>
      </c>
      <c r="D47" s="133">
        <f>-E18</f>
        <v>-4650</v>
      </c>
      <c r="E47" s="10"/>
      <c r="F47" s="102"/>
      <c r="G47" s="18"/>
      <c r="H47" s="102"/>
    </row>
    <row r="48" spans="1:9" ht="15.75">
      <c r="A48" s="4" t="s">
        <v>49</v>
      </c>
      <c r="D48" s="96">
        <f>SUM(D44:D47)</f>
        <v>4750</v>
      </c>
      <c r="E48" s="11"/>
      <c r="F48" s="95">
        <f>AVERAGE(F44:F46)</f>
        <v>6.666666666666667</v>
      </c>
      <c r="G48" s="18" t="s">
        <v>33</v>
      </c>
      <c r="H48" s="95">
        <f>AVERAGE(H44:H46)</f>
        <v>20</v>
      </c>
      <c r="I48" s="3" t="s">
        <v>38</v>
      </c>
    </row>
    <row r="49" spans="1:5" ht="15.75">
      <c r="A49" s="4"/>
      <c r="D49" s="96"/>
      <c r="E49" s="11"/>
    </row>
    <row r="50" spans="1:8" ht="15.75">
      <c r="A50" s="4" t="s">
        <v>65</v>
      </c>
      <c r="D50" s="96">
        <f>D41+D48</f>
        <v>5600</v>
      </c>
      <c r="E50" s="12"/>
      <c r="G50" s="5"/>
      <c r="H50" s="5"/>
    </row>
    <row r="51" spans="1:8" ht="15.75">
      <c r="A51" s="4"/>
      <c r="D51" s="97"/>
      <c r="E51" s="12"/>
      <c r="G51" s="5"/>
      <c r="H51" s="5"/>
    </row>
    <row r="52" spans="1:8" ht="15.75">
      <c r="A52" s="4" t="s">
        <v>86</v>
      </c>
      <c r="D52" s="103">
        <v>0</v>
      </c>
      <c r="E52" s="12"/>
      <c r="G52" s="5"/>
      <c r="H52" s="5"/>
    </row>
    <row r="53" ht="15.75">
      <c r="E53" s="11"/>
    </row>
    <row r="54" spans="1:8" ht="15.75">
      <c r="A54" s="4" t="s">
        <v>39</v>
      </c>
      <c r="D54" s="96">
        <f>D50+D52</f>
        <v>5600</v>
      </c>
      <c r="E54" s="12"/>
      <c r="G54" s="5" t="s">
        <v>0</v>
      </c>
      <c r="H54" s="5"/>
    </row>
    <row r="55" spans="6:8" ht="15">
      <c r="F55" s="118"/>
      <c r="G55" s="118"/>
      <c r="H55" s="118"/>
    </row>
    <row r="56" ht="15">
      <c r="E56" s="117"/>
    </row>
    <row r="57" ht="15">
      <c r="E57" s="117"/>
    </row>
    <row r="58" ht="15">
      <c r="E58" s="117"/>
    </row>
    <row r="59" ht="15">
      <c r="E59" s="117"/>
    </row>
    <row r="60" spans="5:8" ht="15">
      <c r="E60" s="117"/>
      <c r="H60" s="70"/>
    </row>
  </sheetData>
  <sheetProtection password="C6A6" sheet="1" objects="1" scenarios="1"/>
  <mergeCells count="5">
    <mergeCell ref="A2:I2"/>
    <mergeCell ref="H38:I38"/>
    <mergeCell ref="F38:G38"/>
    <mergeCell ref="A18:C18"/>
    <mergeCell ref="A9:E9"/>
  </mergeCells>
  <hyperlinks>
    <hyperlink ref="A18" r:id="rId1" display=" MB Hydro Solar PV Incentive"/>
    <hyperlink ref="A9:D9" r:id="rId2" display="     Natural Resources Canada solar resource maps"/>
    <hyperlink ref="F9:H9" r:id="rId3" display=" and NREL's PVWatts Calculator"/>
    <hyperlink ref="A18:C18" r:id="rId4" display=" MB Hydro Solar PV Incentive"/>
  </hyperlinks>
  <printOptions horizontalCentered="1"/>
  <pageMargins left="0.7480314960629921" right="0.7480314960629921" top="0.984251968503937" bottom="0.984251968503937" header="0.5118110236220472" footer="0.5118110236220472"/>
  <pageSetup fitToHeight="1" fitToWidth="1" horizontalDpi="600" verticalDpi="600" orientation="portrait" scale="77" r:id="rId5"/>
  <headerFooter alignWithMargins="0">
    <oddHeader>&amp;L&amp;9Guidelines: On-Farm Solar PV Energy Production Costs</oddHeader>
    <oddFooter>&amp;R&amp;"Arial,Italic"&amp;9Manitoba Agriculture</oddFooter>
  </headerFooter>
  <ignoredErrors>
    <ignoredError sqref="F48 H48" unlockedFormula="1"/>
  </ignoredErrors>
</worksheet>
</file>

<file path=xl/worksheets/sheet4.xml><?xml version="1.0" encoding="utf-8"?>
<worksheet xmlns="http://schemas.openxmlformats.org/spreadsheetml/2006/main" xmlns:r="http://schemas.openxmlformats.org/officeDocument/2006/relationships">
  <sheetPr codeName="Sheet3">
    <pageSetUpPr fitToPage="1"/>
  </sheetPr>
  <dimension ref="A1:R237"/>
  <sheetViews>
    <sheetView showGridLines="0" workbookViewId="0" topLeftCell="A1">
      <selection activeCell="A2" sqref="A2:J2"/>
    </sheetView>
  </sheetViews>
  <sheetFormatPr defaultColWidth="8.88671875" defaultRowHeight="15" customHeight="1"/>
  <cols>
    <col min="1" max="1" width="3.21484375" style="15" customWidth="1"/>
    <col min="2" max="2" width="5.6640625" style="15" customWidth="1"/>
    <col min="3" max="3" width="5.5546875" style="15" customWidth="1"/>
    <col min="4" max="4" width="9.21484375" style="15" customWidth="1"/>
    <col min="5" max="5" width="3.77734375" style="15" customWidth="1"/>
    <col min="6" max="6" width="12.77734375" style="15" customWidth="1"/>
    <col min="7" max="7" width="2.21484375" style="15" customWidth="1"/>
    <col min="8" max="8" width="10.88671875" style="15" bestFit="1" customWidth="1"/>
    <col min="9" max="9" width="14.4453125" style="15" customWidth="1"/>
    <col min="10" max="10" width="12.4453125" style="15" customWidth="1"/>
    <col min="11" max="16384" width="8.88671875" style="15" customWidth="1"/>
  </cols>
  <sheetData>
    <row r="1" spans="1:10" ht="15" customHeight="1">
      <c r="A1" s="14"/>
      <c r="B1" s="14"/>
      <c r="C1" s="14"/>
      <c r="D1" s="14"/>
      <c r="E1" s="14"/>
      <c r="F1" s="14"/>
      <c r="G1" s="14"/>
      <c r="H1" s="14"/>
      <c r="I1" s="14"/>
      <c r="J1" s="14"/>
    </row>
    <row r="2" spans="1:10" ht="16.5" customHeight="1">
      <c r="A2" s="230" t="s">
        <v>27</v>
      </c>
      <c r="B2" s="230"/>
      <c r="C2" s="230"/>
      <c r="D2" s="230"/>
      <c r="E2" s="230"/>
      <c r="F2" s="230"/>
      <c r="G2" s="230"/>
      <c r="H2" s="230"/>
      <c r="I2" s="230"/>
      <c r="J2" s="230"/>
    </row>
    <row r="3" spans="1:10" ht="15" customHeight="1">
      <c r="A3" s="14"/>
      <c r="B3" s="14"/>
      <c r="C3" s="14"/>
      <c r="D3" s="14"/>
      <c r="E3" s="9"/>
      <c r="F3" s="9"/>
      <c r="G3" s="9"/>
      <c r="H3" s="9"/>
      <c r="I3" s="9"/>
      <c r="J3" s="14"/>
    </row>
    <row r="4" spans="1:10" ht="15.75">
      <c r="A4" s="4" t="s">
        <v>27</v>
      </c>
      <c r="B4" s="3"/>
      <c r="C4" s="3"/>
      <c r="D4" s="3"/>
      <c r="E4" s="3"/>
      <c r="F4" s="3"/>
      <c r="G4" s="3"/>
      <c r="H4" s="3"/>
      <c r="I4" s="3"/>
      <c r="J4" s="26"/>
    </row>
    <row r="5" spans="1:10" ht="15">
      <c r="A5" s="18" t="s">
        <v>182</v>
      </c>
      <c r="B5" s="3"/>
      <c r="C5" s="3"/>
      <c r="D5" s="3"/>
      <c r="E5" s="3"/>
      <c r="F5" s="3"/>
      <c r="G5" s="3"/>
      <c r="H5" s="3"/>
      <c r="I5" s="3"/>
      <c r="J5" s="26"/>
    </row>
    <row r="6" spans="1:10" ht="15">
      <c r="A6" s="3" t="s">
        <v>46</v>
      </c>
      <c r="B6" s="3"/>
      <c r="C6" s="3"/>
      <c r="D6" s="3"/>
      <c r="E6" s="3"/>
      <c r="F6" s="3"/>
      <c r="G6" s="3"/>
      <c r="H6" s="3"/>
      <c r="I6" s="3"/>
      <c r="J6" s="26"/>
    </row>
    <row r="7" spans="1:10" ht="15">
      <c r="A7" s="18" t="s">
        <v>181</v>
      </c>
      <c r="B7" s="3"/>
      <c r="C7" s="3"/>
      <c r="D7" s="3"/>
      <c r="E7" s="3"/>
      <c r="F7" s="3"/>
      <c r="G7" s="3"/>
      <c r="H7" s="3"/>
      <c r="I7" s="3"/>
      <c r="J7" s="26"/>
    </row>
    <row r="8" spans="1:10" ht="15">
      <c r="A8" s="18" t="s">
        <v>183</v>
      </c>
      <c r="B8" s="3"/>
      <c r="C8" s="3"/>
      <c r="D8" s="3"/>
      <c r="E8" s="3"/>
      <c r="F8" s="3"/>
      <c r="G8" s="3"/>
      <c r="H8" s="3"/>
      <c r="I8" s="3"/>
      <c r="J8" s="26"/>
    </row>
    <row r="9" spans="1:10" ht="15">
      <c r="A9" s="18" t="s">
        <v>184</v>
      </c>
      <c r="B9" s="3"/>
      <c r="C9" s="3"/>
      <c r="D9" s="3"/>
      <c r="E9" s="3"/>
      <c r="F9" s="3"/>
      <c r="G9" s="3"/>
      <c r="H9" s="3"/>
      <c r="I9" s="3"/>
      <c r="J9" s="26"/>
    </row>
    <row r="10" spans="1:10" ht="15" customHeight="1">
      <c r="A10" s="14"/>
      <c r="B10" s="18"/>
      <c r="C10" s="18"/>
      <c r="D10" s="18"/>
      <c r="E10" s="18"/>
      <c r="F10" s="18"/>
      <c r="G10" s="18"/>
      <c r="H10" s="18"/>
      <c r="I10" s="18"/>
      <c r="J10" s="18"/>
    </row>
    <row r="11" spans="1:10" ht="16.5" customHeight="1">
      <c r="A11" s="241" t="s">
        <v>185</v>
      </c>
      <c r="B11" s="242"/>
      <c r="C11" s="242"/>
      <c r="D11" s="242"/>
      <c r="E11" s="242"/>
      <c r="F11" s="242"/>
      <c r="G11" s="242"/>
      <c r="H11" s="242"/>
      <c r="I11" s="242"/>
      <c r="J11" s="242"/>
    </row>
    <row r="12" spans="1:10" ht="15" customHeight="1">
      <c r="A12" s="104"/>
      <c r="B12" s="105"/>
      <c r="C12" s="105"/>
      <c r="D12" s="105"/>
      <c r="E12" s="105"/>
      <c r="F12" s="105"/>
      <c r="G12" s="105"/>
      <c r="H12" s="105"/>
      <c r="I12" s="105"/>
      <c r="J12" s="105"/>
    </row>
    <row r="13" spans="1:10" ht="15" customHeight="1">
      <c r="A13" s="16"/>
      <c r="B13" s="4" t="s">
        <v>97</v>
      </c>
      <c r="C13" s="18"/>
      <c r="D13" s="18"/>
      <c r="E13" s="18"/>
      <c r="F13" s="18"/>
      <c r="G13" s="18"/>
      <c r="H13" s="18"/>
      <c r="I13" s="18"/>
      <c r="J13" s="18"/>
    </row>
    <row r="14" spans="1:10" ht="15" customHeight="1">
      <c r="A14" s="14"/>
      <c r="C14" s="19" t="s">
        <v>129</v>
      </c>
      <c r="D14" s="18"/>
      <c r="E14" s="18"/>
      <c r="F14" s="18"/>
      <c r="G14" s="18"/>
      <c r="H14" s="18"/>
      <c r="I14" s="18"/>
      <c r="J14" s="18"/>
    </row>
    <row r="15" spans="1:10" ht="15" customHeight="1">
      <c r="A15" s="14"/>
      <c r="C15" s="19"/>
      <c r="D15" s="18"/>
      <c r="E15" s="18"/>
      <c r="F15" s="18">
        <f>Input!E14</f>
        <v>310</v>
      </c>
      <c r="G15" s="18"/>
      <c r="H15" s="18" t="s">
        <v>191</v>
      </c>
      <c r="I15" s="18"/>
      <c r="J15" s="21"/>
    </row>
    <row r="16" spans="1:10" ht="15" customHeight="1">
      <c r="A16" s="14"/>
      <c r="C16" s="19"/>
      <c r="D16" s="18"/>
      <c r="E16" s="22" t="s">
        <v>10</v>
      </c>
      <c r="F16" s="18">
        <f>Input!E15</f>
        <v>15</v>
      </c>
      <c r="G16" s="18"/>
      <c r="H16" s="18" t="s">
        <v>158</v>
      </c>
      <c r="I16" s="18"/>
      <c r="J16" s="21"/>
    </row>
    <row r="17" spans="1:10" ht="15" customHeight="1">
      <c r="A17" s="14"/>
      <c r="C17" s="19"/>
      <c r="D17" s="18"/>
      <c r="E17" s="22" t="s">
        <v>10</v>
      </c>
      <c r="F17" s="20">
        <f>Input!E17</f>
        <v>4</v>
      </c>
      <c r="G17" s="18"/>
      <c r="H17" s="18" t="s">
        <v>157</v>
      </c>
      <c r="I17" s="18"/>
      <c r="J17" s="21"/>
    </row>
    <row r="18" spans="1:10" ht="15" customHeight="1">
      <c r="A18" s="14"/>
      <c r="B18" s="18"/>
      <c r="C18" s="18"/>
      <c r="D18" s="18"/>
      <c r="E18" s="23" t="s">
        <v>10</v>
      </c>
      <c r="F18" s="155">
        <v>365</v>
      </c>
      <c r="G18" s="18"/>
      <c r="H18" s="32" t="s">
        <v>95</v>
      </c>
      <c r="I18" s="18"/>
      <c r="J18" s="21"/>
    </row>
    <row r="19" spans="1:10" ht="15" customHeight="1">
      <c r="A19" s="14"/>
      <c r="C19" s="19"/>
      <c r="D19" s="19" t="s">
        <v>13</v>
      </c>
      <c r="E19" s="19" t="s">
        <v>12</v>
      </c>
      <c r="F19" s="4">
        <f>SUM(F15*F16*F17*F18)/1000</f>
        <v>6789</v>
      </c>
      <c r="G19" s="18"/>
      <c r="H19" s="4" t="s">
        <v>159</v>
      </c>
      <c r="I19" s="18"/>
      <c r="J19" s="18"/>
    </row>
    <row r="20" spans="1:10" ht="15" customHeight="1">
      <c r="A20" s="14"/>
      <c r="C20" s="19"/>
      <c r="D20" s="18"/>
      <c r="E20" s="18"/>
      <c r="F20" s="18"/>
      <c r="G20" s="18"/>
      <c r="H20" s="18"/>
      <c r="I20" s="18"/>
      <c r="J20" s="18"/>
    </row>
    <row r="21" spans="1:10" ht="15" customHeight="1">
      <c r="A21" s="14"/>
      <c r="C21" s="19" t="s">
        <v>130</v>
      </c>
      <c r="D21" s="18"/>
      <c r="E21" s="18"/>
      <c r="F21" s="18"/>
      <c r="G21" s="18"/>
      <c r="H21" s="18"/>
      <c r="I21" s="18"/>
      <c r="J21" s="18"/>
    </row>
    <row r="22" spans="1:10" ht="15" customHeight="1">
      <c r="A22" s="14"/>
      <c r="C22" s="19"/>
      <c r="D22" s="18"/>
      <c r="E22" s="18"/>
      <c r="F22" s="18">
        <f>Input!E14</f>
        <v>310</v>
      </c>
      <c r="G22" s="18"/>
      <c r="H22" s="18" t="s">
        <v>191</v>
      </c>
      <c r="I22" s="18"/>
      <c r="J22" s="21"/>
    </row>
    <row r="23" spans="1:10" ht="15" customHeight="1">
      <c r="A23" s="14"/>
      <c r="C23" s="19"/>
      <c r="D23" s="18"/>
      <c r="E23" s="22" t="s">
        <v>10</v>
      </c>
      <c r="F23" s="18">
        <f>Input!E15</f>
        <v>15</v>
      </c>
      <c r="G23" s="18"/>
      <c r="H23" s="18" t="s">
        <v>158</v>
      </c>
      <c r="I23" s="18"/>
      <c r="J23" s="21"/>
    </row>
    <row r="24" spans="1:10" ht="15" customHeight="1">
      <c r="A24" s="14"/>
      <c r="C24" s="19"/>
      <c r="D24" s="18"/>
      <c r="E24" s="22" t="s">
        <v>10</v>
      </c>
      <c r="F24" s="20">
        <f>Input!E16</f>
        <v>5</v>
      </c>
      <c r="G24" s="18"/>
      <c r="H24" s="18" t="s">
        <v>157</v>
      </c>
      <c r="I24" s="18"/>
      <c r="J24" s="21"/>
    </row>
    <row r="25" spans="1:10" ht="15" customHeight="1">
      <c r="A25" s="14"/>
      <c r="B25" s="18"/>
      <c r="C25" s="18"/>
      <c r="D25" s="18"/>
      <c r="E25" s="23" t="s">
        <v>10</v>
      </c>
      <c r="F25" s="155">
        <v>365</v>
      </c>
      <c r="G25" s="18"/>
      <c r="H25" s="32" t="s">
        <v>95</v>
      </c>
      <c r="I25" s="18"/>
      <c r="J25" s="21"/>
    </row>
    <row r="26" spans="1:10" ht="15" customHeight="1">
      <c r="A26" s="14"/>
      <c r="C26" s="19"/>
      <c r="D26" s="19" t="s">
        <v>13</v>
      </c>
      <c r="E26" s="19" t="s">
        <v>12</v>
      </c>
      <c r="F26" s="4">
        <f>SUM(F22*F23*F24*F25)/1000</f>
        <v>8486.25</v>
      </c>
      <c r="G26" s="18"/>
      <c r="H26" s="4" t="s">
        <v>159</v>
      </c>
      <c r="I26" s="18"/>
      <c r="J26" s="18"/>
    </row>
    <row r="27" spans="1:10" ht="15" customHeight="1">
      <c r="A27" s="14"/>
      <c r="B27" s="18"/>
      <c r="C27" s="18"/>
      <c r="D27" s="19"/>
      <c r="E27" s="19"/>
      <c r="F27" s="69"/>
      <c r="G27" s="19"/>
      <c r="H27" s="19"/>
      <c r="I27" s="18"/>
      <c r="J27" s="35"/>
    </row>
    <row r="28" spans="1:10" ht="15" customHeight="1">
      <c r="A28" s="14"/>
      <c r="C28" s="19" t="s">
        <v>161</v>
      </c>
      <c r="D28" s="18"/>
      <c r="E28" s="18"/>
      <c r="F28" s="18"/>
      <c r="G28" s="18"/>
      <c r="H28" s="18"/>
      <c r="I28" s="18"/>
      <c r="J28" s="18"/>
    </row>
    <row r="29" spans="1:10" ht="15" customHeight="1">
      <c r="A29" s="14"/>
      <c r="C29" s="19"/>
      <c r="D29" s="18"/>
      <c r="E29" s="18"/>
      <c r="F29" s="18">
        <f>F19</f>
        <v>6789</v>
      </c>
      <c r="G29" s="18"/>
      <c r="H29" s="18" t="s">
        <v>159</v>
      </c>
      <c r="I29" s="18"/>
      <c r="J29" s="21"/>
    </row>
    <row r="30" spans="1:10" ht="15" customHeight="1">
      <c r="A30" s="14"/>
      <c r="C30" s="19"/>
      <c r="D30" s="18"/>
      <c r="E30" s="18" t="s">
        <v>11</v>
      </c>
      <c r="F30" s="18">
        <v>365</v>
      </c>
      <c r="G30" s="18"/>
      <c r="H30" s="18" t="s">
        <v>95</v>
      </c>
      <c r="I30" s="18"/>
      <c r="J30" s="21"/>
    </row>
    <row r="31" spans="1:10" ht="15" customHeight="1">
      <c r="A31" s="14"/>
      <c r="C31" s="19"/>
      <c r="D31" s="18"/>
      <c r="E31" s="32" t="s">
        <v>11</v>
      </c>
      <c r="F31" s="32">
        <v>24</v>
      </c>
      <c r="G31" s="32"/>
      <c r="H31" s="70" t="s">
        <v>193</v>
      </c>
      <c r="I31" s="18"/>
      <c r="J31" s="21"/>
    </row>
    <row r="32" spans="1:10" ht="15" customHeight="1">
      <c r="A32" s="14"/>
      <c r="C32" s="19"/>
      <c r="D32" s="18"/>
      <c r="E32" s="18"/>
      <c r="F32" s="176">
        <f>SUM(F29/F30/F31)</f>
        <v>0.775</v>
      </c>
      <c r="G32" s="18"/>
      <c r="H32" s="22" t="s">
        <v>160</v>
      </c>
      <c r="I32" s="18"/>
      <c r="J32" s="21"/>
    </row>
    <row r="33" spans="1:10" ht="15" customHeight="1">
      <c r="A33" s="14"/>
      <c r="C33" s="19"/>
      <c r="D33" s="18"/>
      <c r="E33" s="18"/>
      <c r="F33" s="18"/>
      <c r="G33" s="18"/>
      <c r="H33" s="18"/>
      <c r="I33" s="18"/>
      <c r="J33" s="18"/>
    </row>
    <row r="34" spans="1:10" ht="15" customHeight="1">
      <c r="A34" s="14"/>
      <c r="B34" s="18"/>
      <c r="C34" s="18"/>
      <c r="D34" s="22"/>
      <c r="E34" s="22"/>
      <c r="F34" s="129">
        <f>Input!D54</f>
        <v>5600</v>
      </c>
      <c r="G34" s="22"/>
      <c r="H34" s="22" t="s">
        <v>194</v>
      </c>
      <c r="I34" s="18"/>
      <c r="J34" s="21"/>
    </row>
    <row r="35" spans="1:10" ht="15" customHeight="1">
      <c r="A35" s="14"/>
      <c r="B35" s="18"/>
      <c r="C35" s="18"/>
      <c r="D35" s="22"/>
      <c r="E35" s="32" t="s">
        <v>11</v>
      </c>
      <c r="F35" s="130">
        <f>F32</f>
        <v>0.775</v>
      </c>
      <c r="G35" s="23"/>
      <c r="H35" s="22" t="s">
        <v>160</v>
      </c>
      <c r="I35" s="18"/>
      <c r="J35" s="21"/>
    </row>
    <row r="36" spans="1:10" ht="15" customHeight="1">
      <c r="A36" s="14"/>
      <c r="B36" s="18"/>
      <c r="C36" s="18"/>
      <c r="D36" s="19" t="s">
        <v>13</v>
      </c>
      <c r="E36" s="19" t="s">
        <v>12</v>
      </c>
      <c r="F36" s="174">
        <f>ROUND(F34/F35,2)</f>
        <v>7225.81</v>
      </c>
      <c r="G36" s="19"/>
      <c r="H36" s="19" t="s">
        <v>162</v>
      </c>
      <c r="I36" s="18"/>
      <c r="J36" s="21"/>
    </row>
    <row r="37" spans="1:10" ht="15" customHeight="1">
      <c r="A37" s="14"/>
      <c r="B37" s="18"/>
      <c r="C37" s="18"/>
      <c r="D37" s="19"/>
      <c r="E37" s="19"/>
      <c r="F37" s="68"/>
      <c r="G37" s="19"/>
      <c r="H37" s="19"/>
      <c r="I37" s="18"/>
      <c r="J37" s="25"/>
    </row>
    <row r="38" spans="1:10" ht="15" customHeight="1">
      <c r="A38" s="14"/>
      <c r="C38" s="19" t="s">
        <v>163</v>
      </c>
      <c r="D38" s="18"/>
      <c r="E38" s="18"/>
      <c r="F38" s="18"/>
      <c r="G38" s="18"/>
      <c r="H38" s="18"/>
      <c r="I38" s="18"/>
      <c r="J38" s="18"/>
    </row>
    <row r="39" spans="1:10" ht="15" customHeight="1">
      <c r="A39" s="14"/>
      <c r="C39" s="19"/>
      <c r="D39" s="18"/>
      <c r="E39" s="18"/>
      <c r="F39" s="18">
        <f>F26</f>
        <v>8486.25</v>
      </c>
      <c r="G39" s="18"/>
      <c r="H39" s="18" t="s">
        <v>159</v>
      </c>
      <c r="I39" s="18"/>
      <c r="J39" s="21"/>
    </row>
    <row r="40" spans="1:10" ht="15" customHeight="1">
      <c r="A40" s="14"/>
      <c r="C40" s="19"/>
      <c r="D40" s="18"/>
      <c r="E40" s="18" t="s">
        <v>11</v>
      </c>
      <c r="F40" s="18">
        <v>365</v>
      </c>
      <c r="G40" s="18"/>
      <c r="H40" s="18" t="s">
        <v>95</v>
      </c>
      <c r="I40" s="18"/>
      <c r="J40" s="21"/>
    </row>
    <row r="41" spans="1:10" ht="15" customHeight="1">
      <c r="A41" s="14"/>
      <c r="C41" s="19"/>
      <c r="D41" s="18"/>
      <c r="E41" s="32" t="s">
        <v>11</v>
      </c>
      <c r="F41" s="32">
        <v>24</v>
      </c>
      <c r="G41" s="32"/>
      <c r="H41" s="70" t="s">
        <v>193</v>
      </c>
      <c r="I41" s="18"/>
      <c r="J41" s="21"/>
    </row>
    <row r="42" spans="1:10" ht="15" customHeight="1">
      <c r="A42" s="14"/>
      <c r="C42" s="19"/>
      <c r="D42" s="18"/>
      <c r="E42" s="18"/>
      <c r="F42" s="176">
        <f>SUM(F39/F40/F41)</f>
        <v>0.96875</v>
      </c>
      <c r="G42" s="18"/>
      <c r="H42" s="22" t="s">
        <v>160</v>
      </c>
      <c r="I42" s="18"/>
      <c r="J42" s="21"/>
    </row>
    <row r="43" spans="1:10" ht="15" customHeight="1">
      <c r="A43" s="14"/>
      <c r="C43" s="19"/>
      <c r="D43" s="18"/>
      <c r="E43" s="18"/>
      <c r="F43" s="18"/>
      <c r="G43" s="18"/>
      <c r="H43" s="18"/>
      <c r="I43" s="18"/>
      <c r="J43" s="18"/>
    </row>
    <row r="44" spans="1:10" ht="15" customHeight="1">
      <c r="A44" s="14"/>
      <c r="B44" s="18"/>
      <c r="C44" s="18"/>
      <c r="D44" s="22"/>
      <c r="E44" s="22"/>
      <c r="F44" s="129">
        <f>Input!D54</f>
        <v>5600</v>
      </c>
      <c r="G44" s="22"/>
      <c r="H44" s="22" t="s">
        <v>194</v>
      </c>
      <c r="I44" s="18"/>
      <c r="J44" s="21"/>
    </row>
    <row r="45" spans="1:10" ht="15" customHeight="1">
      <c r="A45" s="14"/>
      <c r="B45" s="18"/>
      <c r="C45" s="18"/>
      <c r="D45" s="22"/>
      <c r="E45" s="32" t="s">
        <v>11</v>
      </c>
      <c r="F45" s="130">
        <f>F42</f>
        <v>0.96875</v>
      </c>
      <c r="G45" s="23"/>
      <c r="H45" s="22" t="s">
        <v>160</v>
      </c>
      <c r="I45" s="18"/>
      <c r="J45" s="21"/>
    </row>
    <row r="46" spans="1:10" ht="15" customHeight="1">
      <c r="A46" s="14"/>
      <c r="B46" s="18"/>
      <c r="C46" s="18"/>
      <c r="D46" s="19" t="s">
        <v>13</v>
      </c>
      <c r="E46" s="19" t="s">
        <v>12</v>
      </c>
      <c r="F46" s="174">
        <f>ROUND(F44/F45,2)</f>
        <v>5780.65</v>
      </c>
      <c r="G46" s="19"/>
      <c r="H46" s="19" t="s">
        <v>162</v>
      </c>
      <c r="I46" s="18"/>
      <c r="J46" s="21"/>
    </row>
    <row r="47" spans="1:10" ht="15" customHeight="1">
      <c r="A47" s="14"/>
      <c r="B47" s="18"/>
      <c r="C47" s="18"/>
      <c r="D47" s="19"/>
      <c r="E47" s="19"/>
      <c r="F47" s="68"/>
      <c r="G47" s="19"/>
      <c r="H47" s="19"/>
      <c r="I47" s="18"/>
      <c r="J47" s="25"/>
    </row>
    <row r="48" spans="1:10" ht="15" customHeight="1">
      <c r="A48" s="16"/>
      <c r="B48" s="4" t="s">
        <v>100</v>
      </c>
      <c r="C48" s="18"/>
      <c r="D48" s="18"/>
      <c r="E48" s="18"/>
      <c r="F48" s="18"/>
      <c r="G48" s="18"/>
      <c r="H48" s="18"/>
      <c r="I48" s="18"/>
      <c r="J48" s="18"/>
    </row>
    <row r="49" spans="1:10" ht="15" customHeight="1">
      <c r="A49" s="14"/>
      <c r="C49" s="19" t="s">
        <v>103</v>
      </c>
      <c r="D49" s="18"/>
      <c r="E49" s="18"/>
      <c r="F49" s="18"/>
      <c r="G49" s="18"/>
      <c r="H49" s="18"/>
      <c r="I49" s="18"/>
      <c r="J49" s="18"/>
    </row>
    <row r="50" spans="1:10" ht="15" customHeight="1">
      <c r="A50" s="14"/>
      <c r="B50" s="18"/>
      <c r="C50" s="18"/>
      <c r="D50" s="18"/>
      <c r="E50" s="18"/>
      <c r="F50" s="39">
        <f>H83</f>
        <v>850</v>
      </c>
      <c r="G50" s="18"/>
      <c r="H50" s="18" t="s">
        <v>70</v>
      </c>
      <c r="I50" s="18"/>
      <c r="J50" s="21"/>
    </row>
    <row r="51" spans="1:10" ht="15" customHeight="1">
      <c r="A51" s="14"/>
      <c r="B51" s="18"/>
      <c r="C51" s="18"/>
      <c r="D51" s="18"/>
      <c r="E51" s="23" t="s">
        <v>15</v>
      </c>
      <c r="F51" s="90">
        <f>Input!D48</f>
        <v>4750</v>
      </c>
      <c r="G51" s="22"/>
      <c r="H51" s="23" t="s">
        <v>71</v>
      </c>
      <c r="I51" s="18"/>
      <c r="J51" s="21"/>
    </row>
    <row r="52" spans="1:10" ht="15" customHeight="1">
      <c r="A52" s="14"/>
      <c r="B52" s="18"/>
      <c r="C52" s="18"/>
      <c r="D52" s="18"/>
      <c r="E52" s="18" t="s">
        <v>12</v>
      </c>
      <c r="F52" s="39">
        <f>SUM(F50:F51)</f>
        <v>5600</v>
      </c>
      <c r="G52" s="18"/>
      <c r="H52" s="18" t="s">
        <v>72</v>
      </c>
      <c r="I52" s="18"/>
      <c r="J52" s="21"/>
    </row>
    <row r="53" spans="1:10" ht="15" customHeight="1">
      <c r="A53" s="14"/>
      <c r="B53" s="18"/>
      <c r="C53" s="18"/>
      <c r="D53" s="18"/>
      <c r="E53" s="23" t="s">
        <v>10</v>
      </c>
      <c r="F53" s="175">
        <f>Input!E25/100</f>
        <v>0.0025</v>
      </c>
      <c r="G53" s="18"/>
      <c r="H53" s="32" t="s">
        <v>75</v>
      </c>
      <c r="I53" s="18"/>
      <c r="J53" s="21"/>
    </row>
    <row r="54" spans="1:10" ht="15" customHeight="1">
      <c r="A54" s="14"/>
      <c r="B54" s="18"/>
      <c r="C54" s="18"/>
      <c r="D54" s="18"/>
      <c r="E54" s="19" t="s">
        <v>12</v>
      </c>
      <c r="F54" s="11">
        <f>SUM(F52*F53)</f>
        <v>14</v>
      </c>
      <c r="G54" s="18"/>
      <c r="H54" s="19" t="s">
        <v>73</v>
      </c>
      <c r="I54" s="18"/>
      <c r="J54" s="21"/>
    </row>
    <row r="55" spans="1:10" ht="15" customHeight="1">
      <c r="A55" s="14"/>
      <c r="B55" s="18"/>
      <c r="C55" s="18"/>
      <c r="D55" s="18"/>
      <c r="E55" s="18"/>
      <c r="F55" s="18"/>
      <c r="G55" s="18"/>
      <c r="H55" s="18"/>
      <c r="I55" s="18"/>
      <c r="J55" s="18"/>
    </row>
    <row r="56" spans="1:10" ht="15" customHeight="1">
      <c r="A56" s="14"/>
      <c r="C56" s="19" t="s">
        <v>164</v>
      </c>
      <c r="D56" s="18"/>
      <c r="E56" s="18"/>
      <c r="F56" s="18"/>
      <c r="G56" s="18"/>
      <c r="H56" s="18"/>
      <c r="I56" s="18"/>
      <c r="J56" s="18"/>
    </row>
    <row r="57" spans="1:10" ht="15" customHeight="1">
      <c r="A57" s="14"/>
      <c r="B57" s="18"/>
      <c r="C57" s="18"/>
      <c r="D57" s="18"/>
      <c r="E57" s="18"/>
      <c r="F57" s="39">
        <f>H83</f>
        <v>850</v>
      </c>
      <c r="G57" s="18"/>
      <c r="H57" s="18" t="s">
        <v>70</v>
      </c>
      <c r="I57" s="18"/>
      <c r="J57" s="21"/>
    </row>
    <row r="58" spans="1:10" ht="15" customHeight="1">
      <c r="A58" s="14"/>
      <c r="B58" s="18"/>
      <c r="C58" s="18"/>
      <c r="D58" s="18"/>
      <c r="E58" s="23" t="s">
        <v>15</v>
      </c>
      <c r="F58" s="90">
        <f>Input!D48</f>
        <v>4750</v>
      </c>
      <c r="G58" s="22"/>
      <c r="H58" s="23" t="s">
        <v>71</v>
      </c>
      <c r="I58" s="18"/>
      <c r="J58" s="21"/>
    </row>
    <row r="59" spans="1:10" ht="15" customHeight="1">
      <c r="A59" s="14"/>
      <c r="B59" s="18"/>
      <c r="C59" s="18"/>
      <c r="D59" s="18"/>
      <c r="E59" s="18" t="s">
        <v>12</v>
      </c>
      <c r="F59" s="39">
        <f>SUM(F57:F58)</f>
        <v>5600</v>
      </c>
      <c r="G59" s="18"/>
      <c r="H59" s="18" t="s">
        <v>72</v>
      </c>
      <c r="I59" s="18"/>
      <c r="J59" s="21"/>
    </row>
    <row r="60" spans="1:10" ht="15" customHeight="1">
      <c r="A60" s="14"/>
      <c r="B60" s="18"/>
      <c r="C60" s="18"/>
      <c r="D60" s="18"/>
      <c r="E60" s="23" t="s">
        <v>10</v>
      </c>
      <c r="F60" s="85">
        <f>Input!E28/100</f>
        <v>0.005</v>
      </c>
      <c r="G60" s="18"/>
      <c r="H60" s="32" t="s">
        <v>74</v>
      </c>
      <c r="I60" s="18"/>
      <c r="J60" s="21"/>
    </row>
    <row r="61" spans="1:10" ht="15" customHeight="1">
      <c r="A61" s="14"/>
      <c r="B61" s="18"/>
      <c r="C61" s="18"/>
      <c r="D61" s="18"/>
      <c r="E61" s="19" t="s">
        <v>12</v>
      </c>
      <c r="F61" s="11">
        <f>SUM(F59*F60)</f>
        <v>28</v>
      </c>
      <c r="G61" s="18"/>
      <c r="H61" s="19" t="s">
        <v>76</v>
      </c>
      <c r="I61" s="18"/>
      <c r="J61" s="21"/>
    </row>
    <row r="62" spans="1:10" ht="15" customHeight="1">
      <c r="A62" s="14"/>
      <c r="B62" s="18"/>
      <c r="C62" s="18"/>
      <c r="D62" s="18"/>
      <c r="E62" s="18"/>
      <c r="F62" s="18"/>
      <c r="G62" s="18"/>
      <c r="H62" s="18"/>
      <c r="I62" s="18"/>
      <c r="J62" s="18"/>
    </row>
    <row r="63" spans="1:10" ht="15" customHeight="1">
      <c r="A63" s="14"/>
      <c r="C63" s="19" t="s">
        <v>168</v>
      </c>
      <c r="D63" s="18"/>
      <c r="E63" s="18"/>
      <c r="F63" s="18"/>
      <c r="G63" s="18"/>
      <c r="H63" s="18"/>
      <c r="I63" s="18"/>
      <c r="J63" s="18"/>
    </row>
    <row r="64" spans="1:10" ht="15" customHeight="1">
      <c r="A64" s="14"/>
      <c r="B64" s="18"/>
      <c r="C64" s="18"/>
      <c r="D64" s="18"/>
      <c r="E64" s="18"/>
      <c r="F64" s="39">
        <f>H83</f>
        <v>850</v>
      </c>
      <c r="G64" s="18"/>
      <c r="H64" s="18" t="s">
        <v>70</v>
      </c>
      <c r="I64" s="18"/>
      <c r="J64" s="21"/>
    </row>
    <row r="65" spans="1:10" ht="15" customHeight="1">
      <c r="A65" s="14"/>
      <c r="B65" s="18"/>
      <c r="C65" s="18"/>
      <c r="D65" s="18"/>
      <c r="E65" s="23" t="s">
        <v>15</v>
      </c>
      <c r="F65" s="90">
        <f>H94</f>
        <v>0</v>
      </c>
      <c r="G65" s="22"/>
      <c r="H65" s="23" t="s">
        <v>77</v>
      </c>
      <c r="I65" s="18"/>
      <c r="J65" s="21"/>
    </row>
    <row r="66" spans="1:10" ht="15" customHeight="1">
      <c r="A66" s="14"/>
      <c r="B66" s="18"/>
      <c r="C66" s="18"/>
      <c r="D66" s="18"/>
      <c r="E66" s="18" t="s">
        <v>12</v>
      </c>
      <c r="F66" s="39">
        <f>SUM(F64:F65)</f>
        <v>850</v>
      </c>
      <c r="G66" s="18"/>
      <c r="H66" s="18" t="s">
        <v>78</v>
      </c>
      <c r="I66" s="18"/>
      <c r="J66" s="21"/>
    </row>
    <row r="67" spans="1:10" ht="15" customHeight="1">
      <c r="A67" s="14"/>
      <c r="B67" s="18"/>
      <c r="C67" s="18"/>
      <c r="D67" s="18"/>
      <c r="E67" s="23" t="s">
        <v>10</v>
      </c>
      <c r="F67" s="85">
        <f>Input!E29</f>
        <v>0</v>
      </c>
      <c r="G67" s="18"/>
      <c r="H67" s="32" t="s">
        <v>79</v>
      </c>
      <c r="I67" s="18"/>
      <c r="J67" s="21"/>
    </row>
    <row r="68" spans="1:10" ht="15" customHeight="1">
      <c r="A68" s="14"/>
      <c r="B68" s="18"/>
      <c r="C68" s="18"/>
      <c r="D68" s="18"/>
      <c r="E68" s="19" t="s">
        <v>12</v>
      </c>
      <c r="F68" s="11">
        <f>SUM(F66*F67)</f>
        <v>0</v>
      </c>
      <c r="G68" s="18"/>
      <c r="H68" s="19" t="s">
        <v>80</v>
      </c>
      <c r="I68" s="18"/>
      <c r="J68" s="21"/>
    </row>
    <row r="69" spans="1:10" ht="15" customHeight="1">
      <c r="A69" s="14"/>
      <c r="B69" s="18"/>
      <c r="C69" s="18"/>
      <c r="D69" s="18"/>
      <c r="E69" s="18"/>
      <c r="F69" s="18"/>
      <c r="G69" s="18"/>
      <c r="H69" s="18"/>
      <c r="I69" s="18"/>
      <c r="J69" s="18"/>
    </row>
    <row r="70" spans="1:10" ht="15" customHeight="1">
      <c r="A70" s="14"/>
      <c r="C70" s="19" t="s">
        <v>169</v>
      </c>
      <c r="D70" s="18"/>
      <c r="E70" s="18"/>
      <c r="F70" s="18"/>
      <c r="G70" s="18"/>
      <c r="H70" s="18"/>
      <c r="I70" s="18"/>
      <c r="J70" s="18"/>
    </row>
    <row r="71" spans="1:10" ht="15" customHeight="1">
      <c r="A71" s="14"/>
      <c r="B71" s="18"/>
      <c r="C71" s="18" t="s">
        <v>43</v>
      </c>
      <c r="D71" s="18"/>
      <c r="E71" s="18"/>
      <c r="F71" s="18"/>
      <c r="G71" s="18"/>
      <c r="H71" s="18"/>
      <c r="I71" s="18"/>
      <c r="J71" s="18"/>
    </row>
    <row r="72" spans="1:10" ht="15" customHeight="1">
      <c r="A72" s="14"/>
      <c r="D72" s="18"/>
      <c r="E72" s="18"/>
      <c r="F72" s="18"/>
      <c r="G72" s="18"/>
      <c r="H72" s="18"/>
      <c r="I72" s="18"/>
      <c r="J72" s="18"/>
    </row>
    <row r="73" spans="1:10" ht="15" customHeight="1">
      <c r="A73" s="14"/>
      <c r="B73" s="18"/>
      <c r="C73" s="18"/>
      <c r="D73" s="18"/>
      <c r="E73" s="18"/>
      <c r="F73" s="39">
        <f>Summary!I16</f>
        <v>42</v>
      </c>
      <c r="G73" s="18"/>
      <c r="H73" s="18" t="s">
        <v>32</v>
      </c>
      <c r="I73" s="18"/>
      <c r="J73" s="21"/>
    </row>
    <row r="74" spans="1:10" ht="15" customHeight="1">
      <c r="A74" s="14"/>
      <c r="B74" s="18"/>
      <c r="C74" s="18"/>
      <c r="D74" s="18"/>
      <c r="E74" s="18" t="s">
        <v>11</v>
      </c>
      <c r="F74" s="56">
        <v>2</v>
      </c>
      <c r="G74" s="18"/>
      <c r="H74" s="18" t="s">
        <v>26</v>
      </c>
      <c r="I74" s="18"/>
      <c r="J74" s="21"/>
    </row>
    <row r="75" spans="1:10" ht="15" customHeight="1">
      <c r="A75" s="14"/>
      <c r="B75" s="18"/>
      <c r="C75" s="18"/>
      <c r="D75" s="18"/>
      <c r="E75" s="23" t="s">
        <v>10</v>
      </c>
      <c r="F75" s="57">
        <f>Input!E32</f>
        <v>4.5</v>
      </c>
      <c r="G75" s="22"/>
      <c r="H75" s="23" t="s">
        <v>82</v>
      </c>
      <c r="I75" s="18"/>
      <c r="J75" s="21"/>
    </row>
    <row r="76" spans="1:10" ht="15" customHeight="1">
      <c r="A76" s="14"/>
      <c r="B76" s="18"/>
      <c r="C76" s="18"/>
      <c r="D76" s="18"/>
      <c r="E76" s="19" t="s">
        <v>12</v>
      </c>
      <c r="F76" s="68">
        <f>ROUND((F73/F74)*(F75),2)/100</f>
        <v>0.945</v>
      </c>
      <c r="G76" s="19"/>
      <c r="H76" s="19" t="s">
        <v>81</v>
      </c>
      <c r="I76" s="18"/>
      <c r="J76" s="21"/>
    </row>
    <row r="77" spans="1:10" ht="15" customHeight="1">
      <c r="A77" s="14"/>
      <c r="B77" s="18"/>
      <c r="C77" s="18"/>
      <c r="D77" s="18"/>
      <c r="E77" s="18"/>
      <c r="F77" s="18"/>
      <c r="G77" s="18"/>
      <c r="H77" s="18"/>
      <c r="I77" s="18"/>
      <c r="J77" s="18"/>
    </row>
    <row r="78" spans="1:10" ht="18.75" customHeight="1">
      <c r="A78" s="14"/>
      <c r="B78" s="237" t="s">
        <v>28</v>
      </c>
      <c r="C78" s="238"/>
      <c r="D78" s="238"/>
      <c r="E78" s="238"/>
      <c r="F78" s="238"/>
      <c r="G78" s="238"/>
      <c r="H78" s="238"/>
      <c r="I78" s="238"/>
      <c r="J78" s="238"/>
    </row>
    <row r="79" spans="1:10" ht="15" customHeight="1">
      <c r="A79" s="14"/>
      <c r="B79" s="18"/>
      <c r="C79" s="18"/>
      <c r="D79" s="18"/>
      <c r="E79" s="18"/>
      <c r="F79" s="18"/>
      <c r="G79" s="18"/>
      <c r="H79" s="18"/>
      <c r="I79" s="18"/>
      <c r="J79" s="18"/>
    </row>
    <row r="80" spans="1:10" ht="15" customHeight="1">
      <c r="A80" s="14"/>
      <c r="B80" s="4" t="s">
        <v>84</v>
      </c>
      <c r="C80" s="4"/>
      <c r="D80" s="18"/>
      <c r="E80" s="18"/>
      <c r="F80" s="18"/>
      <c r="G80" s="18"/>
      <c r="H80" s="18"/>
      <c r="I80" s="18"/>
      <c r="J80" s="18"/>
    </row>
    <row r="81" spans="1:10" ht="15" customHeight="1">
      <c r="A81" s="14"/>
      <c r="B81" s="18" t="s">
        <v>170</v>
      </c>
      <c r="C81" s="32"/>
      <c r="D81" s="18"/>
      <c r="E81" s="18"/>
      <c r="F81" s="26"/>
      <c r="G81" s="18"/>
      <c r="H81" s="128">
        <f>Input!D39</f>
        <v>600</v>
      </c>
      <c r="J81" s="21"/>
    </row>
    <row r="82" spans="1:10" ht="15" customHeight="1">
      <c r="A82" s="14"/>
      <c r="B82" s="18" t="s">
        <v>171</v>
      </c>
      <c r="C82" s="32"/>
      <c r="D82" s="18"/>
      <c r="E82" s="18"/>
      <c r="F82" s="26"/>
      <c r="G82" s="18"/>
      <c r="H82" s="43">
        <f>Input!D40</f>
        <v>250</v>
      </c>
      <c r="J82" s="21"/>
    </row>
    <row r="83" spans="1:10" ht="15" customHeight="1">
      <c r="A83" s="14"/>
      <c r="B83" s="4" t="s">
        <v>1</v>
      </c>
      <c r="C83" s="4"/>
      <c r="D83" s="18"/>
      <c r="E83" s="18"/>
      <c r="F83" s="26"/>
      <c r="G83" s="18"/>
      <c r="H83" s="40">
        <f>SUM(H81:H82)</f>
        <v>850</v>
      </c>
      <c r="J83" s="21"/>
    </row>
    <row r="84" spans="1:10" ht="15" customHeight="1">
      <c r="A84" s="14"/>
      <c r="B84" s="18"/>
      <c r="C84" s="18"/>
      <c r="D84" s="18"/>
      <c r="E84" s="18"/>
      <c r="F84" s="26"/>
      <c r="G84" s="18"/>
      <c r="H84" s="27"/>
      <c r="I84" s="18"/>
      <c r="J84" s="18"/>
    </row>
    <row r="85" spans="1:10" ht="15" customHeight="1">
      <c r="A85" s="14"/>
      <c r="B85" s="4" t="s">
        <v>18</v>
      </c>
      <c r="C85" s="4"/>
      <c r="D85" s="18"/>
      <c r="E85" s="18"/>
      <c r="F85" s="26"/>
      <c r="G85" s="18"/>
      <c r="H85" s="27"/>
      <c r="I85" s="18"/>
      <c r="J85" s="18"/>
    </row>
    <row r="86" spans="1:10" ht="15" customHeight="1">
      <c r="A86" s="14"/>
      <c r="B86" s="18" t="s">
        <v>172</v>
      </c>
      <c r="C86" s="18"/>
      <c r="D86" s="18"/>
      <c r="E86" s="18"/>
      <c r="F86" s="26"/>
      <c r="G86" s="18"/>
      <c r="H86" s="42">
        <f>Input!D44</f>
        <v>8500</v>
      </c>
      <c r="J86" s="21"/>
    </row>
    <row r="87" spans="1:10" ht="15" customHeight="1">
      <c r="A87" s="14"/>
      <c r="B87" s="18" t="s">
        <v>207</v>
      </c>
      <c r="C87" s="18"/>
      <c r="D87" s="18"/>
      <c r="E87" s="18"/>
      <c r="F87" s="26"/>
      <c r="G87" s="18"/>
      <c r="H87" s="42">
        <f>Input!D45</f>
        <v>300</v>
      </c>
      <c r="J87" s="21"/>
    </row>
    <row r="88" spans="1:10" ht="15" customHeight="1">
      <c r="A88" s="14"/>
      <c r="B88" s="18" t="s">
        <v>206</v>
      </c>
      <c r="C88" s="18"/>
      <c r="D88" s="18"/>
      <c r="E88" s="18"/>
      <c r="F88" s="26"/>
      <c r="G88" s="18"/>
      <c r="H88" s="128">
        <f>Input!D46</f>
        <v>600</v>
      </c>
      <c r="J88" s="21"/>
    </row>
    <row r="89" spans="1:10" ht="15" customHeight="1">
      <c r="A89" s="14"/>
      <c r="B89" s="18" t="s">
        <v>123</v>
      </c>
      <c r="C89" s="18"/>
      <c r="D89" s="18"/>
      <c r="E89" s="18"/>
      <c r="F89" s="26"/>
      <c r="G89" s="18"/>
      <c r="H89" s="43">
        <f>-Input!E18</f>
        <v>-4650</v>
      </c>
      <c r="J89" s="21"/>
    </row>
    <row r="90" spans="1:10" ht="15" customHeight="1">
      <c r="A90" s="14"/>
      <c r="B90" s="4" t="s">
        <v>2</v>
      </c>
      <c r="C90" s="18"/>
      <c r="D90" s="18"/>
      <c r="E90" s="18"/>
      <c r="F90" s="26"/>
      <c r="G90" s="18"/>
      <c r="H90" s="40">
        <f>SUM(H86:H89)</f>
        <v>4750</v>
      </c>
      <c r="J90" s="21"/>
    </row>
    <row r="91" spans="1:10" ht="15" customHeight="1">
      <c r="A91" s="14"/>
      <c r="B91" s="18"/>
      <c r="C91" s="18"/>
      <c r="D91" s="18"/>
      <c r="E91" s="18"/>
      <c r="F91" s="26"/>
      <c r="G91" s="18"/>
      <c r="H91" s="27"/>
      <c r="J91" s="18"/>
    </row>
    <row r="92" spans="1:10" ht="15" customHeight="1">
      <c r="A92" s="14"/>
      <c r="B92" s="4" t="s">
        <v>50</v>
      </c>
      <c r="C92" s="18"/>
      <c r="D92" s="18"/>
      <c r="E92" s="18"/>
      <c r="F92" s="26"/>
      <c r="G92" s="18"/>
      <c r="H92" s="40">
        <f>H83+H90</f>
        <v>5600</v>
      </c>
      <c r="J92" s="21"/>
    </row>
    <row r="93" spans="1:10" ht="15" customHeight="1">
      <c r="A93" s="14"/>
      <c r="B93" s="18"/>
      <c r="C93" s="18"/>
      <c r="D93" s="18"/>
      <c r="E93" s="18"/>
      <c r="F93" s="26"/>
      <c r="G93" s="18"/>
      <c r="H93" s="27"/>
      <c r="J93" s="18"/>
    </row>
    <row r="94" spans="1:10" ht="15" customHeight="1">
      <c r="A94" s="14"/>
      <c r="B94" s="4" t="s">
        <v>85</v>
      </c>
      <c r="C94" s="18"/>
      <c r="D94" s="18"/>
      <c r="E94" s="18"/>
      <c r="F94" s="26"/>
      <c r="G94" s="18"/>
      <c r="H94" s="40">
        <f>Input!D52</f>
        <v>0</v>
      </c>
      <c r="J94" s="21"/>
    </row>
    <row r="95" spans="1:10" ht="15" customHeight="1">
      <c r="A95" s="14"/>
      <c r="B95" s="18"/>
      <c r="C95" s="18"/>
      <c r="D95" s="18"/>
      <c r="E95" s="18"/>
      <c r="F95" s="26"/>
      <c r="G95" s="18"/>
      <c r="H95" s="27"/>
      <c r="J95" s="18"/>
    </row>
    <row r="96" spans="1:10" ht="15" customHeight="1">
      <c r="A96" s="14"/>
      <c r="B96" s="4" t="s">
        <v>51</v>
      </c>
      <c r="C96" s="18"/>
      <c r="D96" s="18"/>
      <c r="E96" s="18"/>
      <c r="F96" s="26"/>
      <c r="G96" s="18"/>
      <c r="H96" s="40">
        <f>H92+H94</f>
        <v>5600</v>
      </c>
      <c r="J96" s="21"/>
    </row>
    <row r="97" spans="1:10" ht="15" customHeight="1">
      <c r="A97" s="14"/>
      <c r="B97" s="18"/>
      <c r="C97" s="18"/>
      <c r="D97" s="18"/>
      <c r="E97" s="18"/>
      <c r="F97" s="18"/>
      <c r="G97" s="18"/>
      <c r="H97" s="27"/>
      <c r="I97" s="18"/>
      <c r="J97" s="18"/>
    </row>
    <row r="98" spans="1:10" ht="15" customHeight="1">
      <c r="A98" s="14"/>
      <c r="B98" s="18"/>
      <c r="C98" s="18"/>
      <c r="D98" s="18"/>
      <c r="E98" s="18"/>
      <c r="F98" s="18"/>
      <c r="G98" s="18"/>
      <c r="H98" s="18"/>
      <c r="I98" s="18"/>
      <c r="J98" s="18"/>
    </row>
    <row r="99" spans="1:10" ht="15" customHeight="1">
      <c r="A99" s="16"/>
      <c r="B99" s="4" t="s">
        <v>105</v>
      </c>
      <c r="C99" s="18"/>
      <c r="D99" s="18"/>
      <c r="E99" s="18"/>
      <c r="F99" s="18"/>
      <c r="G99" s="18"/>
      <c r="H99" s="18"/>
      <c r="I99" s="18"/>
      <c r="J99" s="18"/>
    </row>
    <row r="100" spans="1:10" ht="15" customHeight="1">
      <c r="A100" s="14"/>
      <c r="B100" s="19" t="s">
        <v>3</v>
      </c>
      <c r="C100" s="19"/>
      <c r="D100" s="18"/>
      <c r="E100" s="18"/>
      <c r="F100" s="243" t="s">
        <v>45</v>
      </c>
      <c r="G100" s="243"/>
      <c r="H100" s="243"/>
      <c r="I100" s="243"/>
      <c r="J100" s="18"/>
    </row>
    <row r="101" spans="1:10" ht="15" customHeight="1">
      <c r="A101" s="14"/>
      <c r="B101" s="19"/>
      <c r="C101" s="19"/>
      <c r="D101" s="18"/>
      <c r="E101" s="18"/>
      <c r="F101" s="244" t="s">
        <v>29</v>
      </c>
      <c r="G101" s="244"/>
      <c r="H101" s="244"/>
      <c r="I101" s="30"/>
      <c r="J101" s="18"/>
    </row>
    <row r="102" spans="1:10" ht="15" customHeight="1">
      <c r="A102" s="14"/>
      <c r="B102" s="19"/>
      <c r="C102" s="19"/>
      <c r="D102" s="18"/>
      <c r="E102" s="18"/>
      <c r="F102" s="30"/>
      <c r="G102" s="30"/>
      <c r="H102" s="30"/>
      <c r="I102" s="30"/>
      <c r="J102" s="18"/>
    </row>
    <row r="103" spans="1:10" ht="15" customHeight="1">
      <c r="A103" s="14"/>
      <c r="C103" s="19" t="s">
        <v>87</v>
      </c>
      <c r="D103" s="18"/>
      <c r="E103" s="18"/>
      <c r="F103" s="18"/>
      <c r="G103" s="18"/>
      <c r="H103" s="18"/>
      <c r="I103" s="18"/>
      <c r="J103" s="18"/>
    </row>
    <row r="104" spans="1:10" ht="15" customHeight="1">
      <c r="A104" s="14"/>
      <c r="B104" s="18"/>
      <c r="C104" s="18"/>
      <c r="D104" s="18"/>
      <c r="E104" s="18"/>
      <c r="F104" s="39">
        <f>H83</f>
        <v>850</v>
      </c>
      <c r="G104" s="18"/>
      <c r="H104" s="18" t="s">
        <v>30</v>
      </c>
      <c r="I104" s="18"/>
      <c r="J104" s="21"/>
    </row>
    <row r="105" spans="1:10" ht="15" customHeight="1">
      <c r="A105" s="14"/>
      <c r="B105" s="18"/>
      <c r="C105" s="18"/>
      <c r="D105" s="18"/>
      <c r="E105" s="18" t="s">
        <v>16</v>
      </c>
      <c r="F105" s="53">
        <f>(Input!F41/100)*Input!D41</f>
        <v>127.5</v>
      </c>
      <c r="G105" s="18"/>
      <c r="H105" s="18" t="s">
        <v>25</v>
      </c>
      <c r="I105" s="18"/>
      <c r="J105" s="21"/>
    </row>
    <row r="106" spans="1:10" ht="15" customHeight="1">
      <c r="A106" s="14"/>
      <c r="B106" s="18"/>
      <c r="C106" s="18"/>
      <c r="D106" s="18"/>
      <c r="E106" s="18" t="s">
        <v>11</v>
      </c>
      <c r="F106" s="58">
        <f>Input!H41</f>
        <v>20</v>
      </c>
      <c r="G106" s="18"/>
      <c r="H106" s="32" t="s">
        <v>17</v>
      </c>
      <c r="I106" s="18"/>
      <c r="J106" s="21"/>
    </row>
    <row r="107" spans="1:10" ht="15" customHeight="1">
      <c r="A107" s="14"/>
      <c r="B107" s="18"/>
      <c r="C107" s="18"/>
      <c r="D107" s="18"/>
      <c r="E107" s="19" t="s">
        <v>12</v>
      </c>
      <c r="F107" s="68">
        <f>((F104-F105)/F106)</f>
        <v>36.125</v>
      </c>
      <c r="G107" s="19"/>
      <c r="H107" s="19"/>
      <c r="I107" s="18"/>
      <c r="J107" s="21"/>
    </row>
    <row r="108" spans="1:10" ht="15" customHeight="1">
      <c r="A108" s="14"/>
      <c r="B108" s="18"/>
      <c r="C108" s="18"/>
      <c r="D108" s="18"/>
      <c r="E108" s="18"/>
      <c r="F108" s="18"/>
      <c r="G108" s="18"/>
      <c r="H108" s="18"/>
      <c r="I108" s="18"/>
      <c r="J108" s="18"/>
    </row>
    <row r="109" spans="1:10" ht="15" customHeight="1">
      <c r="A109" s="14"/>
      <c r="C109" s="19" t="s">
        <v>34</v>
      </c>
      <c r="D109" s="18"/>
      <c r="E109" s="18"/>
      <c r="F109" s="18"/>
      <c r="G109" s="18"/>
      <c r="H109" s="18"/>
      <c r="I109" s="18"/>
      <c r="J109" s="18"/>
    </row>
    <row r="110" spans="1:10" ht="15" customHeight="1">
      <c r="A110" s="14"/>
      <c r="B110" s="18"/>
      <c r="C110" s="18"/>
      <c r="D110" s="18"/>
      <c r="E110" s="18"/>
      <c r="F110" s="39">
        <f>H90</f>
        <v>4750</v>
      </c>
      <c r="G110" s="18"/>
      <c r="H110" s="18" t="s">
        <v>30</v>
      </c>
      <c r="I110" s="18"/>
      <c r="J110" s="21"/>
    </row>
    <row r="111" spans="1:10" ht="15" customHeight="1">
      <c r="A111" s="14"/>
      <c r="B111" s="18"/>
      <c r="C111" s="18"/>
      <c r="D111" s="18"/>
      <c r="E111" s="18" t="s">
        <v>16</v>
      </c>
      <c r="F111" s="53">
        <f>(Input!F48/100)*Input!D48</f>
        <v>316.6666666666667</v>
      </c>
      <c r="G111" s="18"/>
      <c r="H111" s="18" t="s">
        <v>25</v>
      </c>
      <c r="I111" s="18"/>
      <c r="J111" s="21"/>
    </row>
    <row r="112" spans="1:10" ht="15" customHeight="1">
      <c r="A112" s="14"/>
      <c r="B112" s="18"/>
      <c r="C112" s="18"/>
      <c r="D112" s="18"/>
      <c r="E112" s="18" t="s">
        <v>11</v>
      </c>
      <c r="F112" s="58">
        <f>Input!H48</f>
        <v>20</v>
      </c>
      <c r="G112" s="18"/>
      <c r="H112" s="32" t="s">
        <v>17</v>
      </c>
      <c r="I112" s="18"/>
      <c r="J112" s="21"/>
    </row>
    <row r="113" spans="1:10" ht="15" customHeight="1">
      <c r="A113" s="14"/>
      <c r="B113" s="18"/>
      <c r="C113" s="18"/>
      <c r="D113" s="18"/>
      <c r="E113" s="19" t="s">
        <v>12</v>
      </c>
      <c r="F113" s="68">
        <f>((F110-F111)/F112)</f>
        <v>221.66666666666666</v>
      </c>
      <c r="G113" s="19"/>
      <c r="H113" s="19"/>
      <c r="I113" s="18"/>
      <c r="J113" s="21"/>
    </row>
    <row r="114" spans="1:10" ht="15" customHeight="1">
      <c r="A114" s="14"/>
      <c r="B114" s="18"/>
      <c r="C114" s="18"/>
      <c r="D114" s="18"/>
      <c r="E114" s="18"/>
      <c r="F114" s="18"/>
      <c r="G114" s="18"/>
      <c r="H114" s="18" t="s">
        <v>0</v>
      </c>
      <c r="I114" s="18"/>
      <c r="J114" s="18"/>
    </row>
    <row r="115" spans="1:10" ht="15" customHeight="1">
      <c r="A115" s="14"/>
      <c r="B115" s="19" t="s">
        <v>6</v>
      </c>
      <c r="C115" s="19"/>
      <c r="D115" s="18"/>
      <c r="E115" s="18"/>
      <c r="F115" s="239" t="s">
        <v>44</v>
      </c>
      <c r="G115" s="240"/>
      <c r="H115" s="240"/>
      <c r="I115" s="240"/>
      <c r="J115" s="240"/>
    </row>
    <row r="116" spans="1:10" ht="15" customHeight="1">
      <c r="A116" s="14"/>
      <c r="B116" s="19"/>
      <c r="C116" s="19"/>
      <c r="D116" s="18"/>
      <c r="E116" s="18"/>
      <c r="F116" s="28"/>
      <c r="G116" s="31" t="s">
        <v>31</v>
      </c>
      <c r="H116" s="28"/>
      <c r="I116" s="28"/>
      <c r="J116" s="72"/>
    </row>
    <row r="117" spans="1:10" ht="15" customHeight="1">
      <c r="A117" s="14"/>
      <c r="C117" s="19" t="s">
        <v>35</v>
      </c>
      <c r="D117" s="18"/>
      <c r="E117" s="18"/>
      <c r="F117" s="18"/>
      <c r="G117" s="18"/>
      <c r="H117" s="18"/>
      <c r="I117" s="18"/>
      <c r="J117" s="18"/>
    </row>
    <row r="118" spans="1:10" ht="15" customHeight="1">
      <c r="A118" s="14"/>
      <c r="B118" s="18"/>
      <c r="C118" s="18"/>
      <c r="D118" s="18"/>
      <c r="E118" s="18"/>
      <c r="F118" s="39">
        <f>F104</f>
        <v>850</v>
      </c>
      <c r="G118" s="18"/>
      <c r="H118" s="18" t="s">
        <v>30</v>
      </c>
      <c r="I118" s="18"/>
      <c r="J118" s="21"/>
    </row>
    <row r="119" spans="1:10" ht="15" customHeight="1">
      <c r="A119" s="14"/>
      <c r="B119" s="18"/>
      <c r="C119" s="18"/>
      <c r="D119" s="18"/>
      <c r="E119" s="18" t="s">
        <v>15</v>
      </c>
      <c r="F119" s="39">
        <f>F105</f>
        <v>127.5</v>
      </c>
      <c r="G119" s="18"/>
      <c r="H119" s="18" t="s">
        <v>25</v>
      </c>
      <c r="I119" s="18"/>
      <c r="J119" s="21"/>
    </row>
    <row r="120" spans="1:10" ht="15" customHeight="1">
      <c r="A120" s="14"/>
      <c r="B120" s="18"/>
      <c r="C120" s="18"/>
      <c r="D120" s="18"/>
      <c r="E120" s="18" t="s">
        <v>11</v>
      </c>
      <c r="F120" s="56">
        <v>2</v>
      </c>
      <c r="G120" s="18"/>
      <c r="H120" s="18" t="s">
        <v>26</v>
      </c>
      <c r="I120" s="18"/>
      <c r="J120" s="21"/>
    </row>
    <row r="121" spans="1:10" ht="15" customHeight="1">
      <c r="A121" s="14"/>
      <c r="B121" s="18"/>
      <c r="C121" s="18"/>
      <c r="D121" s="18"/>
      <c r="E121" s="18" t="s">
        <v>10</v>
      </c>
      <c r="F121" s="57">
        <f>Input!E31</f>
        <v>2.25</v>
      </c>
      <c r="G121" s="18"/>
      <c r="H121" s="32" t="s">
        <v>47</v>
      </c>
      <c r="I121" s="18"/>
      <c r="J121" s="21"/>
    </row>
    <row r="122" spans="1:10" ht="15" customHeight="1">
      <c r="A122" s="14"/>
      <c r="B122" s="18"/>
      <c r="C122" s="18"/>
      <c r="D122" s="18"/>
      <c r="E122" s="19" t="s">
        <v>12</v>
      </c>
      <c r="F122" s="68">
        <f>(((F118+F119)/F120)*(F121/100))</f>
        <v>10.996875</v>
      </c>
      <c r="G122" s="19"/>
      <c r="H122" s="19"/>
      <c r="I122" s="18"/>
      <c r="J122" s="21"/>
    </row>
    <row r="123" spans="1:10" ht="15" customHeight="1">
      <c r="A123" s="14"/>
      <c r="B123" s="18"/>
      <c r="C123" s="18"/>
      <c r="D123" s="18"/>
      <c r="E123" s="18"/>
      <c r="F123" s="18"/>
      <c r="G123" s="18"/>
      <c r="H123" s="18"/>
      <c r="I123" s="18"/>
      <c r="J123" s="18"/>
    </row>
    <row r="124" spans="1:10" ht="15" customHeight="1">
      <c r="A124" s="14"/>
      <c r="C124" s="19" t="s">
        <v>36</v>
      </c>
      <c r="D124" s="18"/>
      <c r="E124" s="18"/>
      <c r="F124" s="18"/>
      <c r="G124" s="18"/>
      <c r="H124" s="18"/>
      <c r="I124" s="18"/>
      <c r="J124" s="18"/>
    </row>
    <row r="125" spans="1:10" ht="15" customHeight="1">
      <c r="A125" s="14"/>
      <c r="B125" s="18"/>
      <c r="C125" s="18"/>
      <c r="D125" s="18"/>
      <c r="E125" s="18"/>
      <c r="F125" s="39">
        <f>F110</f>
        <v>4750</v>
      </c>
      <c r="G125" s="18"/>
      <c r="H125" s="18" t="s">
        <v>30</v>
      </c>
      <c r="I125" s="18"/>
      <c r="J125" s="21"/>
    </row>
    <row r="126" spans="1:10" ht="15" customHeight="1">
      <c r="A126" s="14"/>
      <c r="B126" s="18"/>
      <c r="C126" s="18"/>
      <c r="D126" s="18"/>
      <c r="E126" s="18" t="s">
        <v>15</v>
      </c>
      <c r="F126" s="39">
        <f>F111</f>
        <v>316.6666666666667</v>
      </c>
      <c r="G126" s="18"/>
      <c r="H126" s="18" t="s">
        <v>25</v>
      </c>
      <c r="I126" s="18"/>
      <c r="J126" s="21"/>
    </row>
    <row r="127" spans="1:10" ht="15" customHeight="1">
      <c r="A127" s="14"/>
      <c r="B127" s="18"/>
      <c r="C127" s="18"/>
      <c r="D127" s="18"/>
      <c r="E127" s="18" t="s">
        <v>11</v>
      </c>
      <c r="F127" s="56">
        <v>2</v>
      </c>
      <c r="G127" s="18"/>
      <c r="H127" s="18" t="s">
        <v>26</v>
      </c>
      <c r="I127" s="18"/>
      <c r="J127" s="21"/>
    </row>
    <row r="128" spans="1:10" ht="15" customHeight="1">
      <c r="A128" s="14"/>
      <c r="B128" s="18"/>
      <c r="C128" s="18"/>
      <c r="D128" s="18"/>
      <c r="E128" s="18" t="s">
        <v>10</v>
      </c>
      <c r="F128" s="57">
        <f>Input!E31</f>
        <v>2.25</v>
      </c>
      <c r="G128" s="18"/>
      <c r="H128" s="32" t="s">
        <v>47</v>
      </c>
      <c r="I128" s="18"/>
      <c r="J128" s="21"/>
    </row>
    <row r="129" spans="1:10" ht="15" customHeight="1">
      <c r="A129" s="14"/>
      <c r="B129" s="18"/>
      <c r="C129" s="18"/>
      <c r="D129" s="18"/>
      <c r="E129" s="4" t="s">
        <v>12</v>
      </c>
      <c r="F129" s="68">
        <f>(((F125+F126)/F127)*(F128/100))</f>
        <v>57</v>
      </c>
      <c r="G129" s="4"/>
      <c r="H129" s="4"/>
      <c r="I129" s="18"/>
      <c r="J129" s="21"/>
    </row>
    <row r="130" spans="1:10" ht="15" customHeight="1">
      <c r="A130" s="14"/>
      <c r="B130" s="18"/>
      <c r="C130" s="18"/>
      <c r="D130" s="18"/>
      <c r="E130" s="18"/>
      <c r="F130" s="18"/>
      <c r="G130" s="18"/>
      <c r="H130" s="18"/>
      <c r="I130" s="18"/>
      <c r="J130" s="18"/>
    </row>
    <row r="131" spans="1:10" ht="15" customHeight="1">
      <c r="A131" s="14"/>
      <c r="C131" s="19" t="s">
        <v>88</v>
      </c>
      <c r="D131" s="18"/>
      <c r="E131" s="18"/>
      <c r="F131" s="18"/>
      <c r="G131" s="18"/>
      <c r="H131" s="18"/>
      <c r="I131" s="18"/>
      <c r="J131" s="18"/>
    </row>
    <row r="132" spans="1:10" ht="15" customHeight="1">
      <c r="A132" s="14"/>
      <c r="B132" s="18"/>
      <c r="C132" s="18"/>
      <c r="D132" s="18"/>
      <c r="E132" s="18"/>
      <c r="F132" s="39">
        <f>Input!D52</f>
        <v>0</v>
      </c>
      <c r="G132" s="18"/>
      <c r="H132" s="18" t="s">
        <v>89</v>
      </c>
      <c r="I132" s="18"/>
      <c r="J132" s="21"/>
    </row>
    <row r="133" spans="1:10" ht="15" customHeight="1">
      <c r="A133" s="14"/>
      <c r="B133" s="18"/>
      <c r="C133" s="18"/>
      <c r="D133" s="18"/>
      <c r="E133" s="23" t="s">
        <v>10</v>
      </c>
      <c r="F133" s="57">
        <f>Input!E31</f>
        <v>2.25</v>
      </c>
      <c r="G133" s="20"/>
      <c r="H133" s="23" t="s">
        <v>47</v>
      </c>
      <c r="I133" s="18"/>
      <c r="J133" s="21"/>
    </row>
    <row r="134" spans="1:10" ht="15" customHeight="1">
      <c r="A134" s="14"/>
      <c r="B134" s="18"/>
      <c r="C134" s="18"/>
      <c r="D134" s="18"/>
      <c r="E134" s="19" t="s">
        <v>12</v>
      </c>
      <c r="F134" s="68">
        <f>SUM(F132*(F133/100))</f>
        <v>0</v>
      </c>
      <c r="G134" s="19"/>
      <c r="H134" s="19"/>
      <c r="I134" s="18"/>
      <c r="J134" s="21"/>
    </row>
    <row r="135" spans="1:10" ht="15" customHeight="1">
      <c r="A135" s="14"/>
      <c r="B135" s="18"/>
      <c r="C135" s="18"/>
      <c r="D135" s="18"/>
      <c r="E135" s="18"/>
      <c r="F135" s="18"/>
      <c r="G135" s="18"/>
      <c r="H135" s="18"/>
      <c r="I135" s="18"/>
      <c r="J135" s="18"/>
    </row>
    <row r="136" spans="1:11" ht="15" customHeight="1">
      <c r="A136" s="16"/>
      <c r="B136" s="19" t="s">
        <v>107</v>
      </c>
      <c r="C136" s="19"/>
      <c r="D136" s="18"/>
      <c r="E136" s="18"/>
      <c r="F136" s="18"/>
      <c r="G136" s="18"/>
      <c r="H136" s="18"/>
      <c r="I136" s="18"/>
      <c r="J136" s="18"/>
      <c r="K136" s="14"/>
    </row>
    <row r="137" spans="1:10" ht="15" customHeight="1">
      <c r="A137" s="14"/>
      <c r="B137" s="18"/>
      <c r="C137" s="18"/>
      <c r="D137" s="18"/>
      <c r="E137" s="22" t="s">
        <v>10</v>
      </c>
      <c r="F137" s="67">
        <f>Input!E27</f>
        <v>0</v>
      </c>
      <c r="G137" s="22"/>
      <c r="H137" s="71" t="s">
        <v>108</v>
      </c>
      <c r="I137" s="18"/>
      <c r="J137" s="21"/>
    </row>
    <row r="138" spans="1:10" ht="15" customHeight="1">
      <c r="A138" s="14"/>
      <c r="B138" s="18"/>
      <c r="C138" s="18"/>
      <c r="D138" s="18"/>
      <c r="E138" s="23" t="s">
        <v>10</v>
      </c>
      <c r="F138" s="41">
        <f>Input!E26</f>
        <v>20</v>
      </c>
      <c r="G138" s="22"/>
      <c r="H138" s="70" t="s">
        <v>69</v>
      </c>
      <c r="I138" s="18"/>
      <c r="J138" s="21"/>
    </row>
    <row r="139" spans="1:10" ht="15" customHeight="1">
      <c r="A139" s="14"/>
      <c r="B139" s="18"/>
      <c r="C139" s="19" t="s">
        <v>14</v>
      </c>
      <c r="E139" s="19" t="s">
        <v>12</v>
      </c>
      <c r="F139" s="68">
        <f>SUM(F137*F138*52)</f>
        <v>0</v>
      </c>
      <c r="G139" s="18"/>
      <c r="H139" s="19" t="s">
        <v>83</v>
      </c>
      <c r="I139" s="18"/>
      <c r="J139" s="21"/>
    </row>
    <row r="140" spans="1:10" ht="15" customHeight="1">
      <c r="A140" s="14"/>
      <c r="B140" s="18"/>
      <c r="C140" s="19"/>
      <c r="E140" s="19"/>
      <c r="F140" s="88"/>
      <c r="G140" s="89"/>
      <c r="H140" s="4"/>
      <c r="I140" s="26"/>
      <c r="J140" s="35"/>
    </row>
    <row r="141" spans="1:10" ht="15" customHeight="1">
      <c r="A141" s="14"/>
      <c r="B141" s="19" t="s">
        <v>91</v>
      </c>
      <c r="C141" s="19"/>
      <c r="D141" s="18"/>
      <c r="E141" s="18"/>
      <c r="F141" s="18"/>
      <c r="G141" s="18"/>
      <c r="H141" s="18"/>
      <c r="I141" s="18"/>
      <c r="J141" s="18"/>
    </row>
    <row r="142" spans="1:10" ht="15" customHeight="1">
      <c r="A142" s="14"/>
      <c r="C142" s="19" t="s">
        <v>132</v>
      </c>
      <c r="D142" s="18"/>
      <c r="E142" s="18"/>
      <c r="F142" s="18"/>
      <c r="G142" s="18"/>
      <c r="H142" s="18"/>
      <c r="I142" s="18"/>
      <c r="J142" s="18"/>
    </row>
    <row r="143" spans="1:10" ht="15" customHeight="1">
      <c r="A143" s="14"/>
      <c r="C143" s="19"/>
      <c r="D143" s="18"/>
      <c r="E143" s="18"/>
      <c r="F143" s="120">
        <f>Input!E19</f>
        <v>0.0793</v>
      </c>
      <c r="G143" s="18"/>
      <c r="H143" s="18" t="s">
        <v>96</v>
      </c>
      <c r="I143" s="18"/>
      <c r="J143" s="21"/>
    </row>
    <row r="144" spans="1:10" ht="15" customHeight="1">
      <c r="A144" s="14"/>
      <c r="C144" s="19"/>
      <c r="D144" s="18"/>
      <c r="E144" s="22" t="s">
        <v>10</v>
      </c>
      <c r="F144" s="121">
        <f>Input!E20/100</f>
        <v>0.08</v>
      </c>
      <c r="G144" s="18"/>
      <c r="H144" s="18" t="s">
        <v>117</v>
      </c>
      <c r="I144" s="18"/>
      <c r="J144" s="21"/>
    </row>
    <row r="145" spans="1:10" ht="15" customHeight="1">
      <c r="A145" s="14"/>
      <c r="C145" s="19"/>
      <c r="D145" s="18"/>
      <c r="E145" s="22" t="s">
        <v>10</v>
      </c>
      <c r="F145" s="121">
        <f>Input!E21/100</f>
        <v>0.05</v>
      </c>
      <c r="G145" s="18"/>
      <c r="H145" s="18" t="s">
        <v>118</v>
      </c>
      <c r="I145" s="18"/>
      <c r="J145" s="21"/>
    </row>
    <row r="146" spans="1:10" ht="15" customHeight="1">
      <c r="A146" s="14"/>
      <c r="B146" s="18"/>
      <c r="C146" s="18"/>
      <c r="D146" s="18"/>
      <c r="E146" s="23" t="s">
        <v>10</v>
      </c>
      <c r="F146" s="122">
        <f>F19</f>
        <v>6789</v>
      </c>
      <c r="G146" s="32"/>
      <c r="H146" s="23" t="s">
        <v>178</v>
      </c>
      <c r="I146" s="18"/>
      <c r="J146" s="21"/>
    </row>
    <row r="147" spans="1:10" ht="15" customHeight="1">
      <c r="A147" s="14"/>
      <c r="B147" s="18"/>
      <c r="C147" s="18"/>
      <c r="D147" s="19" t="s">
        <v>13</v>
      </c>
      <c r="E147" s="19" t="s">
        <v>12</v>
      </c>
      <c r="F147" s="111">
        <f>SUM((F143+(F143*F144)+(F143*F145))*F146)</f>
        <v>608.355501</v>
      </c>
      <c r="G147" s="18"/>
      <c r="H147" s="19" t="s">
        <v>177</v>
      </c>
      <c r="I147" s="18"/>
      <c r="J147" s="21"/>
    </row>
    <row r="148" spans="1:10" ht="15" customHeight="1">
      <c r="A148" s="14"/>
      <c r="B148" s="18"/>
      <c r="C148" s="18"/>
      <c r="D148" s="19"/>
      <c r="E148" s="19"/>
      <c r="F148" s="111"/>
      <c r="G148" s="18"/>
      <c r="H148" s="19"/>
      <c r="I148" s="18"/>
      <c r="J148" s="35"/>
    </row>
    <row r="149" spans="1:10" ht="15" customHeight="1">
      <c r="A149" s="14"/>
      <c r="C149" s="19" t="s">
        <v>133</v>
      </c>
      <c r="D149" s="18"/>
      <c r="E149" s="18"/>
      <c r="F149" s="18"/>
      <c r="G149" s="18"/>
      <c r="H149" s="18"/>
      <c r="I149" s="18"/>
      <c r="J149" s="18"/>
    </row>
    <row r="150" spans="1:10" ht="15" customHeight="1">
      <c r="A150" s="14"/>
      <c r="C150" s="19"/>
      <c r="D150" s="18"/>
      <c r="E150" s="18"/>
      <c r="F150" s="120">
        <f>Input!E19</f>
        <v>0.0793</v>
      </c>
      <c r="G150" s="18"/>
      <c r="H150" s="18" t="s">
        <v>96</v>
      </c>
      <c r="I150" s="18"/>
      <c r="J150" s="21"/>
    </row>
    <row r="151" spans="1:17" ht="15" customHeight="1">
      <c r="A151" s="14"/>
      <c r="C151" s="19"/>
      <c r="D151" s="18"/>
      <c r="E151" s="22" t="s">
        <v>10</v>
      </c>
      <c r="F151" s="121">
        <f>Input!E20/100</f>
        <v>0.08</v>
      </c>
      <c r="G151" s="18"/>
      <c r="H151" s="18" t="s">
        <v>117</v>
      </c>
      <c r="I151" s="18"/>
      <c r="J151" s="21"/>
      <c r="P151" s="123"/>
      <c r="Q151" s="123"/>
    </row>
    <row r="152" spans="1:18" ht="15" customHeight="1">
      <c r="A152" s="14"/>
      <c r="C152" s="19"/>
      <c r="D152" s="18"/>
      <c r="E152" s="22" t="s">
        <v>10</v>
      </c>
      <c r="F152" s="121">
        <f>Input!E21/100</f>
        <v>0.05</v>
      </c>
      <c r="G152" s="18"/>
      <c r="H152" s="18" t="s">
        <v>118</v>
      </c>
      <c r="I152" s="18"/>
      <c r="J152" s="21"/>
      <c r="N152" s="123"/>
      <c r="P152" s="162"/>
      <c r="Q152" s="162"/>
      <c r="R152" s="162"/>
    </row>
    <row r="153" spans="1:17" ht="15" customHeight="1">
      <c r="A153" s="14"/>
      <c r="B153" s="18"/>
      <c r="C153" s="18"/>
      <c r="D153" s="18"/>
      <c r="E153" s="23" t="s">
        <v>10</v>
      </c>
      <c r="F153" s="122">
        <f>F26</f>
        <v>8486.25</v>
      </c>
      <c r="G153" s="32"/>
      <c r="H153" s="23" t="s">
        <v>178</v>
      </c>
      <c r="I153" s="18"/>
      <c r="J153" s="21"/>
      <c r="N153" s="123"/>
      <c r="P153" s="123"/>
      <c r="Q153" s="123"/>
    </row>
    <row r="154" spans="1:14" ht="15" customHeight="1">
      <c r="A154" s="14"/>
      <c r="B154" s="18"/>
      <c r="C154" s="18"/>
      <c r="D154" s="19" t="s">
        <v>13</v>
      </c>
      <c r="E154" s="19" t="s">
        <v>12</v>
      </c>
      <c r="F154" s="111">
        <f>SUM((F150+(F150*F151)+(F150*F152))*F153)</f>
        <v>760.44437625</v>
      </c>
      <c r="G154" s="18"/>
      <c r="H154" s="19" t="s">
        <v>177</v>
      </c>
      <c r="I154" s="18"/>
      <c r="J154" s="21"/>
      <c r="N154" s="123"/>
    </row>
    <row r="155" spans="1:14" ht="15" customHeight="1">
      <c r="A155" s="14"/>
      <c r="B155" s="18"/>
      <c r="C155" s="18"/>
      <c r="D155" s="19"/>
      <c r="E155" s="19"/>
      <c r="F155" s="111"/>
      <c r="G155" s="18"/>
      <c r="H155" s="19"/>
      <c r="I155" s="18"/>
      <c r="J155" s="35"/>
      <c r="N155" s="123"/>
    </row>
    <row r="156" spans="1:14" ht="15" customHeight="1">
      <c r="A156" s="14"/>
      <c r="B156" s="18"/>
      <c r="C156" s="18"/>
      <c r="D156" s="19"/>
      <c r="E156" s="19"/>
      <c r="F156" s="111"/>
      <c r="G156" s="18"/>
      <c r="H156" s="19"/>
      <c r="I156" s="18"/>
      <c r="J156" s="35"/>
      <c r="N156" s="123"/>
    </row>
    <row r="157" spans="1:10" ht="18.75" customHeight="1">
      <c r="A157" s="14"/>
      <c r="B157" s="237" t="s">
        <v>138</v>
      </c>
      <c r="C157" s="238"/>
      <c r="D157" s="238"/>
      <c r="E157" s="238"/>
      <c r="F157" s="238"/>
      <c r="G157" s="238"/>
      <c r="H157" s="238"/>
      <c r="I157" s="238"/>
      <c r="J157" s="238"/>
    </row>
    <row r="158" spans="1:10" ht="15" customHeight="1">
      <c r="A158" s="14"/>
      <c r="B158" s="143"/>
      <c r="C158" s="144"/>
      <c r="D158" s="144"/>
      <c r="E158" s="144"/>
      <c r="F158" s="144"/>
      <c r="G158" s="144"/>
      <c r="H158" s="144"/>
      <c r="I158" s="144"/>
      <c r="J158" s="144"/>
    </row>
    <row r="159" spans="1:14" ht="15" customHeight="1">
      <c r="A159" s="14"/>
      <c r="C159" s="19" t="s">
        <v>136</v>
      </c>
      <c r="D159" s="18"/>
      <c r="E159" s="18"/>
      <c r="F159" s="18"/>
      <c r="G159" s="18"/>
      <c r="H159" s="18"/>
      <c r="I159" s="18"/>
      <c r="J159" s="18"/>
      <c r="N159" s="123"/>
    </row>
    <row r="160" spans="1:14" ht="15" customHeight="1">
      <c r="A160" s="14"/>
      <c r="C160" s="19"/>
      <c r="D160" s="18"/>
      <c r="E160" s="18"/>
      <c r="F160" s="120">
        <f>SUM((Input!E19+((FV((Input!E22/100),Input!E34,0,-Input!E19)-Input!E19)/2)))</f>
        <v>0.11854512843642065</v>
      </c>
      <c r="G160" s="18"/>
      <c r="H160" s="18" t="s">
        <v>96</v>
      </c>
      <c r="I160" s="18"/>
      <c r="J160" s="18"/>
      <c r="N160" s="123"/>
    </row>
    <row r="161" spans="1:14" ht="15" customHeight="1">
      <c r="A161" s="14"/>
      <c r="C161" s="19"/>
      <c r="D161" s="18"/>
      <c r="E161" s="18"/>
      <c r="F161" s="18" t="str">
        <f>"(Based on "&amp;Input!E34&amp;" year average rates and "&amp;(Input!E22)&amp;"% annual rate increase)"</f>
        <v>(Based on 20 year average rates and 3.5% annual rate increase)</v>
      </c>
      <c r="G161" s="18"/>
      <c r="I161" s="18"/>
      <c r="J161" s="18"/>
      <c r="N161" s="123"/>
    </row>
    <row r="162" spans="1:14" ht="15" customHeight="1">
      <c r="A162" s="14"/>
      <c r="C162" s="19"/>
      <c r="D162" s="18"/>
      <c r="E162" s="18"/>
      <c r="F162" s="18"/>
      <c r="G162" s="18"/>
      <c r="I162" s="18"/>
      <c r="J162" s="18"/>
      <c r="N162" s="123"/>
    </row>
    <row r="163" spans="1:14" ht="15" customHeight="1">
      <c r="A163" s="14"/>
      <c r="C163" s="19" t="s">
        <v>137</v>
      </c>
      <c r="D163" s="18"/>
      <c r="E163" s="18"/>
      <c r="F163" s="18"/>
      <c r="G163" s="18"/>
      <c r="H163" s="18"/>
      <c r="I163" s="18"/>
      <c r="J163" s="18"/>
      <c r="N163" s="123"/>
    </row>
    <row r="164" spans="1:14" ht="15" customHeight="1">
      <c r="A164" s="14"/>
      <c r="C164" s="19"/>
      <c r="D164" s="18"/>
      <c r="E164" s="18"/>
      <c r="F164" s="120">
        <f>SUM((Input!E19+((FV((Input!E22/100),Input!E34,0,-Input!E19)-Input!E19)/1)))</f>
        <v>0.15779025687284132</v>
      </c>
      <c r="G164" s="18"/>
      <c r="H164" s="18" t="s">
        <v>96</v>
      </c>
      <c r="I164" s="18"/>
      <c r="J164" s="18"/>
      <c r="N164" s="123"/>
    </row>
    <row r="165" spans="1:14" ht="15" customHeight="1">
      <c r="A165" s="14"/>
      <c r="C165" s="19"/>
      <c r="D165" s="18"/>
      <c r="E165" s="18"/>
      <c r="F165" s="18" t="str">
        <f>"(Rate in "&amp;Input!E34&amp;" years with "&amp;(Input!E22)&amp;"% annual rate increase)"</f>
        <v>(Rate in 20 years with 3.5% annual rate increase)</v>
      </c>
      <c r="G165" s="18"/>
      <c r="I165" s="18"/>
      <c r="J165" s="18"/>
      <c r="N165" s="123"/>
    </row>
    <row r="166" spans="1:14" ht="15" customHeight="1">
      <c r="A166" s="14"/>
      <c r="C166" s="19"/>
      <c r="D166" s="18"/>
      <c r="E166" s="18"/>
      <c r="F166" s="18"/>
      <c r="G166" s="18"/>
      <c r="I166" s="18"/>
      <c r="J166" s="18"/>
      <c r="N166" s="123"/>
    </row>
    <row r="167" spans="1:14" ht="15" customHeight="1">
      <c r="A167" s="14"/>
      <c r="C167" s="19"/>
      <c r="D167" s="18"/>
      <c r="E167" s="18"/>
      <c r="F167" s="18"/>
      <c r="G167" s="18"/>
      <c r="I167" s="18"/>
      <c r="J167" s="18"/>
      <c r="N167" s="123"/>
    </row>
    <row r="168" spans="1:10" ht="15" customHeight="1">
      <c r="A168" s="14"/>
      <c r="C168" s="19" t="s">
        <v>139</v>
      </c>
      <c r="D168" s="18"/>
      <c r="E168" s="18"/>
      <c r="F168" s="18"/>
      <c r="G168" s="18"/>
      <c r="H168" s="18"/>
      <c r="I168" s="18"/>
      <c r="J168" s="18"/>
    </row>
    <row r="169" spans="1:10" ht="15" customHeight="1">
      <c r="A169" s="14"/>
      <c r="C169" s="19"/>
      <c r="D169" s="18"/>
      <c r="E169" s="18"/>
      <c r="F169" s="120">
        <f>F160</f>
        <v>0.11854512843642065</v>
      </c>
      <c r="G169" s="18"/>
      <c r="H169" s="18" t="s">
        <v>96</v>
      </c>
      <c r="I169" s="18"/>
      <c r="J169" s="21"/>
    </row>
    <row r="170" spans="1:10" ht="15" customHeight="1">
      <c r="A170" s="14"/>
      <c r="C170" s="19"/>
      <c r="D170" s="18"/>
      <c r="E170" s="22" t="s">
        <v>10</v>
      </c>
      <c r="F170" s="121">
        <f>Input!E20/100</f>
        <v>0.08</v>
      </c>
      <c r="G170" s="18"/>
      <c r="H170" s="18" t="s">
        <v>117</v>
      </c>
      <c r="I170" s="18"/>
      <c r="J170" s="21"/>
    </row>
    <row r="171" spans="1:10" ht="15" customHeight="1">
      <c r="A171" s="14"/>
      <c r="C171" s="19"/>
      <c r="D171" s="18"/>
      <c r="E171" s="22" t="s">
        <v>10</v>
      </c>
      <c r="F171" s="121">
        <f>Input!E21/100</f>
        <v>0.05</v>
      </c>
      <c r="G171" s="18"/>
      <c r="H171" s="18" t="s">
        <v>118</v>
      </c>
      <c r="I171" s="18"/>
      <c r="J171" s="21"/>
    </row>
    <row r="172" spans="1:10" ht="15" customHeight="1">
      <c r="A172" s="14"/>
      <c r="B172" s="18"/>
      <c r="C172" s="18"/>
      <c r="D172" s="18"/>
      <c r="E172" s="23" t="s">
        <v>10</v>
      </c>
      <c r="F172" s="122">
        <f>F19</f>
        <v>6789</v>
      </c>
      <c r="G172" s="32"/>
      <c r="H172" s="23" t="s">
        <v>178</v>
      </c>
      <c r="I172" s="18"/>
      <c r="J172" s="21"/>
    </row>
    <row r="173" spans="1:10" ht="15" customHeight="1">
      <c r="A173" s="14"/>
      <c r="B173" s="18"/>
      <c r="C173" s="18"/>
      <c r="D173" s="19" t="s">
        <v>13</v>
      </c>
      <c r="E173" s="19" t="s">
        <v>12</v>
      </c>
      <c r="F173" s="111">
        <f>SUM((F169+(F169*F170)+(F169*F171))*F172)</f>
        <v>909.4272509589916</v>
      </c>
      <c r="G173" s="18"/>
      <c r="H173" s="19" t="s">
        <v>177</v>
      </c>
      <c r="I173" s="18"/>
      <c r="J173" s="21"/>
    </row>
    <row r="174" spans="1:14" ht="15" customHeight="1">
      <c r="A174" s="14"/>
      <c r="C174" s="19"/>
      <c r="D174" s="18"/>
      <c r="E174" s="18"/>
      <c r="F174" s="18"/>
      <c r="G174" s="18"/>
      <c r="I174" s="18"/>
      <c r="J174" s="18"/>
      <c r="N174" s="123"/>
    </row>
    <row r="175" spans="1:10" ht="15" customHeight="1">
      <c r="A175" s="14"/>
      <c r="C175" s="19" t="s">
        <v>140</v>
      </c>
      <c r="D175" s="18"/>
      <c r="E175" s="18"/>
      <c r="F175" s="18"/>
      <c r="G175" s="18"/>
      <c r="H175" s="18"/>
      <c r="I175" s="18"/>
      <c r="J175" s="18"/>
    </row>
    <row r="176" spans="1:10" ht="15" customHeight="1">
      <c r="A176" s="14"/>
      <c r="C176" s="19"/>
      <c r="D176" s="18"/>
      <c r="E176" s="18"/>
      <c r="F176" s="120">
        <f>F160</f>
        <v>0.11854512843642065</v>
      </c>
      <c r="G176" s="18"/>
      <c r="H176" s="18" t="s">
        <v>96</v>
      </c>
      <c r="I176" s="18"/>
      <c r="J176" s="21"/>
    </row>
    <row r="177" spans="1:10" ht="15" customHeight="1">
      <c r="A177" s="14"/>
      <c r="C177" s="19"/>
      <c r="D177" s="18"/>
      <c r="E177" s="22" t="s">
        <v>10</v>
      </c>
      <c r="F177" s="121">
        <f>Input!E20/100</f>
        <v>0.08</v>
      </c>
      <c r="G177" s="18"/>
      <c r="H177" s="18" t="s">
        <v>117</v>
      </c>
      <c r="I177" s="18"/>
      <c r="J177" s="21"/>
    </row>
    <row r="178" spans="1:10" ht="15" customHeight="1">
      <c r="A178" s="14"/>
      <c r="C178" s="19"/>
      <c r="D178" s="18"/>
      <c r="E178" s="22" t="s">
        <v>10</v>
      </c>
      <c r="F178" s="121">
        <f>Input!E21/100</f>
        <v>0.05</v>
      </c>
      <c r="G178" s="18"/>
      <c r="H178" s="18" t="s">
        <v>118</v>
      </c>
      <c r="I178" s="18"/>
      <c r="J178" s="21"/>
    </row>
    <row r="179" spans="1:10" ht="15" customHeight="1">
      <c r="A179" s="14"/>
      <c r="B179" s="18"/>
      <c r="C179" s="18"/>
      <c r="D179" s="18"/>
      <c r="E179" s="23" t="s">
        <v>10</v>
      </c>
      <c r="F179" s="122">
        <f>F26</f>
        <v>8486.25</v>
      </c>
      <c r="G179" s="32"/>
      <c r="H179" s="23" t="s">
        <v>178</v>
      </c>
      <c r="I179" s="18"/>
      <c r="J179" s="21"/>
    </row>
    <row r="180" spans="1:10" ht="15" customHeight="1">
      <c r="A180" s="14"/>
      <c r="B180" s="18"/>
      <c r="C180" s="18"/>
      <c r="D180" s="19" t="s">
        <v>13</v>
      </c>
      <c r="E180" s="19" t="s">
        <v>12</v>
      </c>
      <c r="F180" s="111">
        <f>SUM((F176+(F176*F177)+(F176*F178))*F179)</f>
        <v>1136.7840636987396</v>
      </c>
      <c r="G180" s="18"/>
      <c r="H180" s="19" t="s">
        <v>177</v>
      </c>
      <c r="I180" s="18"/>
      <c r="J180" s="21"/>
    </row>
    <row r="181" spans="1:14" ht="15" customHeight="1">
      <c r="A181" s="14"/>
      <c r="C181" s="19"/>
      <c r="D181" s="18"/>
      <c r="E181" s="18"/>
      <c r="F181" s="120"/>
      <c r="G181" s="18"/>
      <c r="H181" s="18"/>
      <c r="I181" s="18"/>
      <c r="J181" s="18"/>
      <c r="N181" s="123"/>
    </row>
    <row r="182" spans="1:14" ht="15" customHeight="1">
      <c r="A182" s="14"/>
      <c r="B182" s="18"/>
      <c r="C182" s="18"/>
      <c r="D182" s="19"/>
      <c r="E182" s="19"/>
      <c r="F182" s="111"/>
      <c r="G182" s="18"/>
      <c r="H182" s="19"/>
      <c r="I182" s="18"/>
      <c r="J182" s="35"/>
      <c r="N182" s="123"/>
    </row>
    <row r="183" spans="1:10" ht="15" customHeight="1">
      <c r="A183" s="14"/>
      <c r="C183" s="19" t="s">
        <v>142</v>
      </c>
      <c r="D183" s="18"/>
      <c r="E183" s="18"/>
      <c r="F183" s="18"/>
      <c r="G183" s="18"/>
      <c r="H183" s="18"/>
      <c r="I183" s="18"/>
      <c r="J183" s="18"/>
    </row>
    <row r="184" spans="1:10" ht="15" customHeight="1">
      <c r="A184" s="14"/>
      <c r="C184" s="19"/>
      <c r="D184" s="18"/>
      <c r="E184" s="18"/>
      <c r="F184" s="168">
        <f>F147</f>
        <v>608.355501</v>
      </c>
      <c r="G184" s="18"/>
      <c r="H184" s="18" t="s">
        <v>179</v>
      </c>
      <c r="I184" s="18"/>
      <c r="J184" s="21"/>
    </row>
    <row r="185" spans="1:10" ht="15" customHeight="1">
      <c r="A185" s="14"/>
      <c r="C185" s="19"/>
      <c r="D185" s="18"/>
      <c r="E185" s="32" t="s">
        <v>11</v>
      </c>
      <c r="F185" s="164">
        <f>H96</f>
        <v>5600</v>
      </c>
      <c r="G185" s="18"/>
      <c r="H185" s="32" t="s">
        <v>51</v>
      </c>
      <c r="I185" s="18"/>
      <c r="J185" s="21"/>
    </row>
    <row r="186" spans="1:10" ht="15" customHeight="1">
      <c r="A186" s="14"/>
      <c r="B186" s="18"/>
      <c r="C186" s="18"/>
      <c r="D186" s="19"/>
      <c r="E186" s="19" t="s">
        <v>12</v>
      </c>
      <c r="F186" s="163">
        <f>SUM(F184/F185)</f>
        <v>0.10863491089285714</v>
      </c>
      <c r="G186" s="18"/>
      <c r="H186" s="19" t="s">
        <v>143</v>
      </c>
      <c r="I186" s="18"/>
      <c r="J186" s="21"/>
    </row>
    <row r="187" spans="1:14" ht="15" customHeight="1">
      <c r="A187" s="14"/>
      <c r="B187" s="18"/>
      <c r="C187" s="18"/>
      <c r="D187" s="19"/>
      <c r="E187" s="19"/>
      <c r="F187" s="111"/>
      <c r="G187" s="18"/>
      <c r="H187" s="19"/>
      <c r="I187" s="18"/>
      <c r="J187" s="35"/>
      <c r="N187" s="123"/>
    </row>
    <row r="188" spans="1:10" ht="15" customHeight="1">
      <c r="A188" s="14"/>
      <c r="C188" s="19" t="s">
        <v>142</v>
      </c>
      <c r="D188" s="18"/>
      <c r="E188" s="18"/>
      <c r="F188" s="18"/>
      <c r="G188" s="18"/>
      <c r="H188" s="18"/>
      <c r="I188" s="18"/>
      <c r="J188" s="18"/>
    </row>
    <row r="189" spans="1:10" ht="15" customHeight="1">
      <c r="A189" s="14"/>
      <c r="C189" s="19"/>
      <c r="D189" s="18"/>
      <c r="E189" s="18"/>
      <c r="F189" s="168">
        <f>F154</f>
        <v>760.44437625</v>
      </c>
      <c r="G189" s="18"/>
      <c r="H189" s="18" t="s">
        <v>180</v>
      </c>
      <c r="I189" s="18"/>
      <c r="J189" s="21"/>
    </row>
    <row r="190" spans="1:10" ht="15" customHeight="1">
      <c r="A190" s="14"/>
      <c r="C190" s="19"/>
      <c r="D190" s="18"/>
      <c r="E190" s="32" t="s">
        <v>11</v>
      </c>
      <c r="F190" s="164">
        <f>H96</f>
        <v>5600</v>
      </c>
      <c r="G190" s="18"/>
      <c r="H190" s="32" t="s">
        <v>51</v>
      </c>
      <c r="I190" s="18"/>
      <c r="J190" s="21"/>
    </row>
    <row r="191" spans="1:10" ht="15" customHeight="1">
      <c r="A191" s="14"/>
      <c r="B191" s="18"/>
      <c r="C191" s="18"/>
      <c r="D191" s="19"/>
      <c r="E191" s="19" t="s">
        <v>12</v>
      </c>
      <c r="F191" s="163">
        <f>SUM(F189/F190)</f>
        <v>0.13579363861607144</v>
      </c>
      <c r="G191" s="18"/>
      <c r="H191" s="19" t="s">
        <v>143</v>
      </c>
      <c r="I191" s="18"/>
      <c r="J191" s="21"/>
    </row>
    <row r="192" spans="1:10" ht="15" customHeight="1">
      <c r="A192" s="14"/>
      <c r="B192" s="18"/>
      <c r="C192" s="18"/>
      <c r="D192" s="19"/>
      <c r="E192" s="19"/>
      <c r="F192" s="163"/>
      <c r="G192" s="18"/>
      <c r="H192" s="19"/>
      <c r="I192" s="18"/>
      <c r="J192" s="35"/>
    </row>
    <row r="193" spans="1:10" ht="15" customHeight="1">
      <c r="A193" s="14"/>
      <c r="C193" s="19" t="str">
        <f>"          Estimated Return on Asset (ROA) - with "&amp;(Input!E22)&amp;"% annual MB Hydro rate inflation"</f>
        <v>          Estimated Return on Asset (ROA) - with 3.5% annual MB Hydro rate inflation</v>
      </c>
      <c r="D193" s="18"/>
      <c r="E193" s="18"/>
      <c r="F193" s="18"/>
      <c r="G193" s="18"/>
      <c r="H193" s="18"/>
      <c r="I193" s="18"/>
      <c r="J193" s="18"/>
    </row>
    <row r="194" spans="1:10" ht="15" customHeight="1">
      <c r="A194" s="14"/>
      <c r="C194" s="19"/>
      <c r="D194" s="18"/>
      <c r="E194" s="18"/>
      <c r="F194" s="168">
        <f>F173</f>
        <v>909.4272509589916</v>
      </c>
      <c r="G194" s="18"/>
      <c r="H194" s="18" t="s">
        <v>179</v>
      </c>
      <c r="I194" s="18"/>
      <c r="J194" s="21"/>
    </row>
    <row r="195" spans="1:10" ht="15" customHeight="1">
      <c r="A195" s="14"/>
      <c r="C195" s="19"/>
      <c r="D195" s="18"/>
      <c r="E195" s="32" t="s">
        <v>11</v>
      </c>
      <c r="F195" s="164">
        <f>H96</f>
        <v>5600</v>
      </c>
      <c r="G195" s="18"/>
      <c r="H195" s="32" t="s">
        <v>51</v>
      </c>
      <c r="I195" s="18"/>
      <c r="J195" s="21"/>
    </row>
    <row r="196" spans="1:10" ht="15" customHeight="1">
      <c r="A196" s="14"/>
      <c r="B196" s="18"/>
      <c r="C196" s="18"/>
      <c r="D196" s="19"/>
      <c r="E196" s="19" t="s">
        <v>12</v>
      </c>
      <c r="F196" s="163">
        <f>SUM(F194/F195)</f>
        <v>0.1623977233855342</v>
      </c>
      <c r="G196" s="18"/>
      <c r="H196" s="19" t="s">
        <v>143</v>
      </c>
      <c r="I196" s="18"/>
      <c r="J196" s="21"/>
    </row>
    <row r="197" spans="1:14" ht="15" customHeight="1">
      <c r="A197" s="14"/>
      <c r="B197" s="18"/>
      <c r="C197" s="18"/>
      <c r="D197" s="19"/>
      <c r="E197" s="19"/>
      <c r="F197" s="111"/>
      <c r="G197" s="18"/>
      <c r="H197" s="19"/>
      <c r="I197" s="18"/>
      <c r="J197" s="35"/>
      <c r="N197" s="123"/>
    </row>
    <row r="198" spans="1:10" ht="15" customHeight="1">
      <c r="A198" s="14"/>
      <c r="C198" s="19" t="str">
        <f>"          Estimated Return on Asset (ROA) - with "&amp;(Input!E22)&amp;"% annual MB Hydro rate inflation"</f>
        <v>          Estimated Return on Asset (ROA) - with 3.5% annual MB Hydro rate inflation</v>
      </c>
      <c r="D198" s="18"/>
      <c r="E198" s="18"/>
      <c r="F198" s="18"/>
      <c r="G198" s="18"/>
      <c r="H198" s="18"/>
      <c r="I198" s="18"/>
      <c r="J198" s="18"/>
    </row>
    <row r="199" spans="1:10" ht="15" customHeight="1">
      <c r="A199" s="14"/>
      <c r="C199" s="19"/>
      <c r="D199" s="18"/>
      <c r="E199" s="18"/>
      <c r="F199" s="168">
        <f>F180</f>
        <v>1136.7840636987396</v>
      </c>
      <c r="G199" s="18"/>
      <c r="H199" s="18" t="s">
        <v>180</v>
      </c>
      <c r="I199" s="18"/>
      <c r="J199" s="21"/>
    </row>
    <row r="200" spans="1:10" ht="15" customHeight="1">
      <c r="A200" s="14"/>
      <c r="C200" s="19"/>
      <c r="D200" s="18"/>
      <c r="E200" s="32" t="s">
        <v>11</v>
      </c>
      <c r="F200" s="164">
        <f>H96</f>
        <v>5600</v>
      </c>
      <c r="G200" s="18"/>
      <c r="H200" s="32" t="s">
        <v>51</v>
      </c>
      <c r="I200" s="18"/>
      <c r="J200" s="21"/>
    </row>
    <row r="201" spans="1:10" ht="15" customHeight="1">
      <c r="A201" s="14"/>
      <c r="B201" s="18"/>
      <c r="C201" s="18"/>
      <c r="D201" s="19"/>
      <c r="E201" s="19" t="s">
        <v>12</v>
      </c>
      <c r="F201" s="163">
        <f>SUM(F199/F200)</f>
        <v>0.20299715423191778</v>
      </c>
      <c r="G201" s="18"/>
      <c r="H201" s="19" t="s">
        <v>143</v>
      </c>
      <c r="I201" s="18"/>
      <c r="J201" s="21"/>
    </row>
    <row r="202" spans="1:10" ht="15" customHeight="1">
      <c r="A202" s="14"/>
      <c r="B202" s="18"/>
      <c r="C202" s="18"/>
      <c r="D202" s="19"/>
      <c r="E202" s="19"/>
      <c r="F202" s="163"/>
      <c r="G202" s="18"/>
      <c r="H202" s="19"/>
      <c r="I202" s="18"/>
      <c r="J202" s="35"/>
    </row>
    <row r="203" spans="1:10" ht="15" customHeight="1">
      <c r="A203" s="14"/>
      <c r="B203" s="18"/>
      <c r="C203" s="18"/>
      <c r="D203" s="19"/>
      <c r="E203" s="19"/>
      <c r="F203" s="163"/>
      <c r="G203" s="18"/>
      <c r="H203" s="19"/>
      <c r="I203" s="18"/>
      <c r="J203" s="35"/>
    </row>
    <row r="204" spans="1:10" ht="15" customHeight="1">
      <c r="A204" s="14"/>
      <c r="C204" s="19" t="str">
        <f>"          Simple Payback Calculation - without MB Hydro rate inflation"</f>
        <v>          Simple Payback Calculation - without MB Hydro rate inflation</v>
      </c>
      <c r="D204" s="18"/>
      <c r="E204" s="18"/>
      <c r="F204" s="18"/>
      <c r="G204" s="18"/>
      <c r="H204" s="18"/>
      <c r="I204" s="18"/>
      <c r="J204" s="18"/>
    </row>
    <row r="205" spans="1:10" ht="15" customHeight="1">
      <c r="A205" s="14"/>
      <c r="C205" s="19"/>
      <c r="D205" s="18"/>
      <c r="E205" s="18"/>
      <c r="F205" s="156">
        <f>H96</f>
        <v>5600</v>
      </c>
      <c r="G205" s="18"/>
      <c r="H205" s="18" t="s">
        <v>51</v>
      </c>
      <c r="I205" s="18"/>
      <c r="J205" s="21"/>
    </row>
    <row r="206" spans="1:10" ht="15" customHeight="1">
      <c r="A206" s="14"/>
      <c r="C206" s="19"/>
      <c r="D206" s="18"/>
      <c r="E206" s="32" t="s">
        <v>11</v>
      </c>
      <c r="F206" s="164">
        <f>F147</f>
        <v>608.355501</v>
      </c>
      <c r="G206" s="18"/>
      <c r="H206" s="32" t="s">
        <v>179</v>
      </c>
      <c r="I206" s="18"/>
      <c r="J206" s="21"/>
    </row>
    <row r="207" spans="1:10" ht="15" customHeight="1">
      <c r="A207" s="14"/>
      <c r="B207" s="18"/>
      <c r="C207" s="18"/>
      <c r="D207" s="19"/>
      <c r="E207" s="19" t="s">
        <v>12</v>
      </c>
      <c r="F207" s="165">
        <f>SUM(F205/F206)</f>
        <v>9.205144016606829</v>
      </c>
      <c r="G207" s="18"/>
      <c r="H207" s="19" t="s">
        <v>146</v>
      </c>
      <c r="I207" s="18"/>
      <c r="J207" s="21"/>
    </row>
    <row r="208" spans="1:10" ht="15" customHeight="1">
      <c r="A208" s="14"/>
      <c r="B208" s="18"/>
      <c r="C208" s="18"/>
      <c r="D208" s="19"/>
      <c r="E208" s="19"/>
      <c r="F208" s="163"/>
      <c r="G208" s="18"/>
      <c r="H208" s="19"/>
      <c r="I208" s="18"/>
      <c r="J208" s="35"/>
    </row>
    <row r="209" spans="1:10" ht="15" customHeight="1">
      <c r="A209" s="14"/>
      <c r="C209" s="19" t="str">
        <f>"          Simple Payback Calculation - without MB Hydro rate inflation"</f>
        <v>          Simple Payback Calculation - without MB Hydro rate inflation</v>
      </c>
      <c r="D209" s="18"/>
      <c r="E209" s="18"/>
      <c r="F209" s="18"/>
      <c r="G209" s="18"/>
      <c r="H209" s="18"/>
      <c r="I209" s="18"/>
      <c r="J209" s="18"/>
    </row>
    <row r="210" spans="1:10" ht="15" customHeight="1">
      <c r="A210" s="14"/>
      <c r="C210" s="19"/>
      <c r="D210" s="18"/>
      <c r="E210" s="18"/>
      <c r="F210" s="156">
        <f>H96</f>
        <v>5600</v>
      </c>
      <c r="G210" s="18"/>
      <c r="H210" s="18" t="s">
        <v>51</v>
      </c>
      <c r="I210" s="18"/>
      <c r="J210" s="21"/>
    </row>
    <row r="211" spans="1:10" ht="15" customHeight="1">
      <c r="A211" s="14"/>
      <c r="C211" s="19"/>
      <c r="D211" s="18"/>
      <c r="E211" s="32" t="s">
        <v>11</v>
      </c>
      <c r="F211" s="164">
        <f>F154</f>
        <v>760.44437625</v>
      </c>
      <c r="G211" s="18"/>
      <c r="H211" s="32" t="s">
        <v>180</v>
      </c>
      <c r="I211" s="18"/>
      <c r="J211" s="21"/>
    </row>
    <row r="212" spans="1:10" ht="15" customHeight="1">
      <c r="A212" s="14"/>
      <c r="B212" s="18"/>
      <c r="C212" s="18"/>
      <c r="D212" s="19"/>
      <c r="E212" s="19" t="s">
        <v>12</v>
      </c>
      <c r="F212" s="165">
        <f>SUM(F210/F211)</f>
        <v>7.364115213285463</v>
      </c>
      <c r="G212" s="18"/>
      <c r="H212" s="19" t="s">
        <v>146</v>
      </c>
      <c r="I212" s="18"/>
      <c r="J212" s="21"/>
    </row>
    <row r="213" spans="1:10" ht="15" customHeight="1">
      <c r="A213" s="14"/>
      <c r="B213" s="18"/>
      <c r="C213" s="18"/>
      <c r="D213" s="19"/>
      <c r="E213" s="19"/>
      <c r="F213" s="165"/>
      <c r="G213" s="18"/>
      <c r="H213" s="19"/>
      <c r="I213" s="18"/>
      <c r="J213" s="35"/>
    </row>
    <row r="214" spans="1:10" ht="15" customHeight="1">
      <c r="A214" s="14"/>
      <c r="C214" s="19" t="str">
        <f>"          Simple Payback Calculation- with "&amp;(Input!E22)&amp;"% annual MB Hydro rate inflation"</f>
        <v>          Simple Payback Calculation- with 3.5% annual MB Hydro rate inflation</v>
      </c>
      <c r="D214" s="18"/>
      <c r="E214" s="18"/>
      <c r="F214" s="18"/>
      <c r="G214" s="18"/>
      <c r="H214" s="18"/>
      <c r="I214" s="18"/>
      <c r="J214" s="18"/>
    </row>
    <row r="215" spans="1:10" ht="15" customHeight="1">
      <c r="A215" s="14"/>
      <c r="C215" s="19"/>
      <c r="D215" s="18"/>
      <c r="E215" s="18"/>
      <c r="F215" s="156">
        <f>H96</f>
        <v>5600</v>
      </c>
      <c r="G215" s="18"/>
      <c r="H215" s="18" t="s">
        <v>51</v>
      </c>
      <c r="I215" s="18"/>
      <c r="J215" s="21"/>
    </row>
    <row r="216" spans="1:10" ht="15" customHeight="1">
      <c r="A216" s="14"/>
      <c r="C216" s="19"/>
      <c r="D216" s="18"/>
      <c r="E216" s="32" t="s">
        <v>11</v>
      </c>
      <c r="F216" s="164">
        <f>F173</f>
        <v>909.4272509589916</v>
      </c>
      <c r="G216" s="18"/>
      <c r="H216" s="32" t="s">
        <v>179</v>
      </c>
      <c r="I216" s="18"/>
      <c r="J216" s="21"/>
    </row>
    <row r="217" spans="1:10" ht="15" customHeight="1">
      <c r="A217" s="14"/>
      <c r="B217" s="18"/>
      <c r="C217" s="18"/>
      <c r="D217" s="19"/>
      <c r="E217" s="19" t="s">
        <v>12</v>
      </c>
      <c r="F217" s="165">
        <f>SUM(F215/F216)</f>
        <v>6.157721790384878</v>
      </c>
      <c r="G217" s="18"/>
      <c r="H217" s="19" t="s">
        <v>146</v>
      </c>
      <c r="I217" s="18"/>
      <c r="J217" s="21"/>
    </row>
    <row r="218" spans="1:10" ht="15" customHeight="1">
      <c r="A218" s="14"/>
      <c r="B218" s="18"/>
      <c r="C218" s="18"/>
      <c r="D218" s="19"/>
      <c r="E218" s="19"/>
      <c r="F218" s="165"/>
      <c r="G218" s="18"/>
      <c r="H218" s="19"/>
      <c r="I218" s="18"/>
      <c r="J218" s="35"/>
    </row>
    <row r="219" spans="1:10" ht="15" customHeight="1">
      <c r="A219" s="14"/>
      <c r="C219" s="19" t="str">
        <f>"          Simple Payback Calculation- with "&amp;(Input!E22)&amp;"% annual MB Hydro rate inflation"</f>
        <v>          Simple Payback Calculation- with 3.5% annual MB Hydro rate inflation</v>
      </c>
      <c r="D219" s="18"/>
      <c r="E219" s="18"/>
      <c r="F219" s="18"/>
      <c r="G219" s="18"/>
      <c r="H219" s="18"/>
      <c r="I219" s="18"/>
      <c r="J219" s="18"/>
    </row>
    <row r="220" spans="1:10" ht="15" customHeight="1">
      <c r="A220" s="14"/>
      <c r="C220" s="19"/>
      <c r="D220" s="18"/>
      <c r="E220" s="18"/>
      <c r="F220" s="156">
        <f>H96</f>
        <v>5600</v>
      </c>
      <c r="G220" s="18"/>
      <c r="H220" s="18" t="s">
        <v>51</v>
      </c>
      <c r="I220" s="18"/>
      <c r="J220" s="21"/>
    </row>
    <row r="221" spans="1:10" ht="15" customHeight="1">
      <c r="A221" s="14"/>
      <c r="C221" s="19"/>
      <c r="D221" s="18"/>
      <c r="E221" s="32" t="s">
        <v>11</v>
      </c>
      <c r="F221" s="164">
        <f>F180</f>
        <v>1136.7840636987396</v>
      </c>
      <c r="G221" s="18"/>
      <c r="H221" s="32" t="s">
        <v>180</v>
      </c>
      <c r="I221" s="18"/>
      <c r="J221" s="21"/>
    </row>
    <row r="222" spans="1:10" ht="15" customHeight="1">
      <c r="A222" s="14"/>
      <c r="B222" s="18"/>
      <c r="C222" s="18"/>
      <c r="D222" s="19"/>
      <c r="E222" s="19" t="s">
        <v>12</v>
      </c>
      <c r="F222" s="165">
        <f>SUM(F220/F221)</f>
        <v>4.926177432307902</v>
      </c>
      <c r="G222" s="18"/>
      <c r="H222" s="19" t="s">
        <v>146</v>
      </c>
      <c r="I222" s="18"/>
      <c r="J222" s="21"/>
    </row>
    <row r="223" spans="1:10" ht="15" customHeight="1">
      <c r="A223" s="14"/>
      <c r="B223" s="18"/>
      <c r="C223" s="18"/>
      <c r="D223" s="19"/>
      <c r="E223" s="19"/>
      <c r="F223" s="165"/>
      <c r="G223" s="18"/>
      <c r="H223" s="19"/>
      <c r="I223" s="18"/>
      <c r="J223" s="21"/>
    </row>
    <row r="224" spans="1:17" s="193" customFormat="1" ht="18" customHeight="1">
      <c r="A224" s="189" t="s">
        <v>199</v>
      </c>
      <c r="B224" s="189"/>
      <c r="C224" s="189"/>
      <c r="D224" s="189"/>
      <c r="E224" s="190"/>
      <c r="F224" s="191"/>
      <c r="G224" s="191"/>
      <c r="H224" s="191"/>
      <c r="I224" s="191"/>
      <c r="J224" s="192" t="s">
        <v>213</v>
      </c>
      <c r="O224" s="194"/>
      <c r="P224" s="195"/>
      <c r="Q224" s="195"/>
    </row>
    <row r="225" spans="1:17" s="193" customFormat="1" ht="21" customHeight="1">
      <c r="A225" s="196" t="s">
        <v>200</v>
      </c>
      <c r="B225" s="197"/>
      <c r="C225" s="198"/>
      <c r="D225" s="198"/>
      <c r="E225" s="198"/>
      <c r="F225" s="199"/>
      <c r="O225" s="194"/>
      <c r="P225" s="195"/>
      <c r="Q225" s="195"/>
    </row>
    <row r="226" spans="1:9" s="201" customFormat="1" ht="15">
      <c r="A226" s="200" t="s">
        <v>201</v>
      </c>
      <c r="F226" s="200"/>
      <c r="I226" s="200"/>
    </row>
    <row r="227" spans="1:9" s="203" customFormat="1" ht="14.25">
      <c r="A227" s="202" t="s">
        <v>202</v>
      </c>
      <c r="F227" s="202"/>
      <c r="I227" s="213"/>
    </row>
    <row r="228" spans="1:10" ht="15" customHeight="1">
      <c r="A228" s="14"/>
      <c r="B228" s="22"/>
      <c r="C228" s="22"/>
      <c r="D228" s="22"/>
      <c r="E228" s="22"/>
      <c r="F228" s="22"/>
      <c r="G228" s="22"/>
      <c r="H228" s="22"/>
      <c r="I228" s="22"/>
      <c r="J228" s="22"/>
    </row>
    <row r="229" spans="1:10" ht="15" customHeight="1">
      <c r="A229" s="14"/>
      <c r="B229" s="22"/>
      <c r="D229" s="14"/>
      <c r="E229" s="22"/>
      <c r="G229" s="22"/>
      <c r="H229" s="22"/>
      <c r="I229" s="22"/>
      <c r="J229" s="22"/>
    </row>
    <row r="230" spans="1:10" ht="15" customHeight="1">
      <c r="A230" s="14"/>
      <c r="B230" s="22"/>
      <c r="E230" s="18"/>
      <c r="G230" s="18"/>
      <c r="H230" s="91"/>
      <c r="I230" s="18"/>
      <c r="J230" s="18"/>
    </row>
    <row r="231" spans="1:10" ht="15" customHeight="1">
      <c r="A231" s="14"/>
      <c r="B231" s="91"/>
      <c r="C231" s="14"/>
      <c r="D231" s="14"/>
      <c r="E231" s="14"/>
      <c r="F231" s="14"/>
      <c r="G231" s="14"/>
      <c r="H231" s="22"/>
      <c r="I231" s="14"/>
      <c r="J231" s="14"/>
    </row>
    <row r="232" spans="1:10" ht="15" customHeight="1">
      <c r="A232" s="14"/>
      <c r="E232" s="14"/>
      <c r="F232" s="123"/>
      <c r="G232" s="14"/>
      <c r="J232" s="14"/>
    </row>
    <row r="233" ht="15" customHeight="1">
      <c r="B233" s="18"/>
    </row>
    <row r="234" ht="15" customHeight="1">
      <c r="B234" s="22"/>
    </row>
    <row r="236" ht="15" customHeight="1">
      <c r="B236" s="26"/>
    </row>
    <row r="237" ht="15" customHeight="1">
      <c r="B237" s="26"/>
    </row>
  </sheetData>
  <sheetProtection password="C6A6" sheet="1"/>
  <mergeCells count="7">
    <mergeCell ref="A2:J2"/>
    <mergeCell ref="B157:J157"/>
    <mergeCell ref="F115:J115"/>
    <mergeCell ref="A11:J11"/>
    <mergeCell ref="F100:I100"/>
    <mergeCell ref="F101:H101"/>
    <mergeCell ref="B78:J78"/>
  </mergeCells>
  <hyperlinks>
    <hyperlink ref="A226" r:id="rId1" display="Roy Arnott"/>
  </hyperlinks>
  <printOptions/>
  <pageMargins left="0.7480314960629921" right="0.7480314960629921" top="0.7480314960629921" bottom="0.7480314960629921" header="0.5118110236220472" footer="0.5118110236220472"/>
  <pageSetup firstPageNumber="4" useFirstPageNumber="1" fitToHeight="4" fitToWidth="1" horizontalDpi="600" verticalDpi="600" orientation="portrait" scale="80" r:id="rId3"/>
  <headerFooter alignWithMargins="0">
    <oddHeader>&amp;L&amp;9Guidelines: On-Farm Solar PV Energy Production Costs&amp;R&amp;P</oddHeader>
    <oddFooter>&amp;R&amp;"Arial,Italic"&amp;9Manitoba Agriculture</oddFooter>
  </headerFooter>
  <rowBreaks count="2" manualBreakCount="2">
    <brk id="69" max="255" man="1"/>
    <brk id="123" max="255" man="1"/>
  </rowBreaks>
  <ignoredErrors>
    <ignoredError sqref="G116"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Manitoba Agriculture, Food and Rural Initiatives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 solar thermal water heat</dc:title>
  <dc:subject>Cost of Production</dc:subject>
  <dc:creator>MAFRI Staff - Roy Arnott</dc:creator>
  <cp:keywords>Biodiesel, Cost</cp:keywords>
  <dc:description>Contact:
Box 190
Killarney MB
roy.arnott@gov.mb.ca</dc:description>
  <cp:lastModifiedBy>KMashinini</cp:lastModifiedBy>
  <cp:lastPrinted>2016-11-01T17:06:57Z</cp:lastPrinted>
  <dcterms:created xsi:type="dcterms:W3CDTF">1999-08-11T21:29:58Z</dcterms:created>
  <dcterms:modified xsi:type="dcterms:W3CDTF">2016-11-02T19:19:31Z</dcterms:modified>
  <cp:category>Cost of Production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ContentTypeId">
    <vt:lpwstr>0x010100ACAADE3355E29C4E95B09CD45679A285</vt:lpwstr>
  </property>
  <property fmtid="{D5CDD505-2E9C-101B-9397-08002B2CF9AE}" pid="9" name="_SourceUrl">
    <vt:lpwstr/>
  </property>
  <property fmtid="{D5CDD505-2E9C-101B-9397-08002B2CF9AE}" pid="10" name="_SharedFileIndex">
    <vt:lpwstr/>
  </property>
</Properties>
</file>