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Input" sheetId="3" r:id="rId3"/>
    <sheet name="Details" sheetId="4" r:id="rId4"/>
  </sheets>
  <definedNames>
    <definedName name="\A">#REF!</definedName>
    <definedName name="\B">#REF!</definedName>
    <definedName name="\C" localSheetId="0">#REF!</definedName>
    <definedName name="\C">#N/A</definedName>
    <definedName name="\D" localSheetId="0">#REF!</definedName>
    <definedName name="\D">#N/A</definedName>
    <definedName name="\E">#REF!</definedName>
    <definedName name="\F">#REF!</definedName>
    <definedName name="\H" localSheetId="0">#REF!</definedName>
    <definedName name="\H">#N/A</definedName>
    <definedName name="\I" localSheetId="0">#REF!</definedName>
    <definedName name="\I">#N/A</definedName>
    <definedName name="\K" localSheetId="0">#N/A</definedName>
    <definedName name="\K">#N/A</definedName>
    <definedName name="\L">#REF!</definedName>
    <definedName name="\N" localSheetId="0">#REF!</definedName>
    <definedName name="\N">#N/A</definedName>
    <definedName name="\O">#REF!</definedName>
    <definedName name="\P" localSheetId="0">#N/A</definedName>
    <definedName name="\P">#N/A</definedName>
    <definedName name="\R">#REF!</definedName>
    <definedName name="\S" localSheetId="0">#REF!</definedName>
    <definedName name="\S">#N/A</definedName>
    <definedName name="\T">#REF!</definedName>
    <definedName name="\U">#REF!</definedName>
    <definedName name="\W" localSheetId="0">#REF!</definedName>
    <definedName name="\W">#N/A</definedName>
    <definedName name="\X" localSheetId="0">#N/A</definedName>
    <definedName name="\X">#N/A</definedName>
    <definedName name="\Y">#REF!</definedName>
    <definedName name="ALL" localSheetId="0">#N/A</definedName>
    <definedName name="ALL">#N/A</definedName>
    <definedName name="_xlnm.Print_Area" localSheetId="2">'Input'!$A$1:$I$57</definedName>
    <definedName name="_xlnm.Print_Area" localSheetId="0">'Introduction'!$A$1:$I$31</definedName>
    <definedName name="Z_6E930F6D_F725_11D2_92B5_0004ACD86FC2_.wvu.PrintArea" localSheetId="0" hidden="1">'Introduction'!$A$1:$B$26</definedName>
  </definedNames>
  <calcPr fullCalcOnLoad="1"/>
</workbook>
</file>

<file path=xl/comments3.xml><?xml version="1.0" encoding="utf-8"?>
<comments xmlns="http://schemas.openxmlformats.org/spreadsheetml/2006/main">
  <authors>
    <author>Roy Arnott</author>
  </authors>
  <commentList>
    <comment ref="E16" authorId="0">
      <text>
        <r>
          <rPr>
            <sz val="8"/>
            <rFont val="Tahoma"/>
            <family val="2"/>
          </rPr>
          <t xml:space="preserve">Canadian Wind Atlas Turbine Formula:
http://www.windatlas.ca/en/nav.php?field=EU&amp;height=30&amp;season=ANU&amp;no=35&amp;lignes=1&amp;roads=1&amp;cities=1
Enter your postal code.
Click on Turbine formula.
Enter required information from turbine spec sheet.
</t>
        </r>
      </text>
    </comment>
    <comment ref="E21" authorId="0">
      <text>
        <r>
          <rPr>
            <sz val="10"/>
            <rFont val="Tahoma"/>
            <family val="2"/>
          </rPr>
          <t xml:space="preserve">MB Hydro Residential Rate September 1, 2012
</t>
        </r>
      </text>
    </comment>
  </commentList>
</comments>
</file>

<file path=xl/sharedStrings.xml><?xml version="1.0" encoding="utf-8"?>
<sst xmlns="http://schemas.openxmlformats.org/spreadsheetml/2006/main" count="426" uniqueCount="214">
  <si>
    <t/>
  </si>
  <si>
    <t xml:space="preserve">         Total Building Cost</t>
  </si>
  <si>
    <t xml:space="preserve">         Total Machinery &amp; Equipment Cost</t>
  </si>
  <si>
    <t>3.  Depreciation</t>
  </si>
  <si>
    <t xml:space="preserve">    3.01   Buildings</t>
  </si>
  <si>
    <t xml:space="preserve">    3.02   Machinery &amp; Equipment</t>
  </si>
  <si>
    <t>4.  Investment</t>
  </si>
  <si>
    <t xml:space="preserve">    4.01   Buildings</t>
  </si>
  <si>
    <t xml:space="preserve">    4.02   Machinery &amp; Equipment</t>
  </si>
  <si>
    <t>Breakeven price</t>
  </si>
  <si>
    <t>x</t>
  </si>
  <si>
    <t>÷</t>
  </si>
  <si>
    <t>=</t>
  </si>
  <si>
    <t xml:space="preserve">Total </t>
  </si>
  <si>
    <t>Total</t>
  </si>
  <si>
    <t>+</t>
  </si>
  <si>
    <t>-</t>
  </si>
  <si>
    <t>years useful life</t>
  </si>
  <si>
    <t xml:space="preserve">  Machinery &amp; Equipment</t>
  </si>
  <si>
    <t>Your Cost</t>
  </si>
  <si>
    <t>Total Operating Costs</t>
  </si>
  <si>
    <t>Total Fixed Costs</t>
  </si>
  <si>
    <t>Total Operating and Fixed Costs</t>
  </si>
  <si>
    <t>Total Cost of Production</t>
  </si>
  <si>
    <t>Prepared by:</t>
  </si>
  <si>
    <t xml:space="preserve">        A. Operating Costs</t>
  </si>
  <si>
    <t>salvage value</t>
  </si>
  <si>
    <t>average</t>
  </si>
  <si>
    <t>Assumptions</t>
  </si>
  <si>
    <t>Capital Costs</t>
  </si>
  <si>
    <t>Useful Life</t>
  </si>
  <si>
    <t>original cost</t>
  </si>
  <si>
    <t>2</t>
  </si>
  <si>
    <t>subtotal operating costs</t>
  </si>
  <si>
    <t>%</t>
  </si>
  <si>
    <t>3.02  Machinery &amp; Equipment</t>
  </si>
  <si>
    <t>4.01  Buildings</t>
  </si>
  <si>
    <t>4.02  Machinery &amp; Equipment</t>
  </si>
  <si>
    <t>Other Operating Costs</t>
  </si>
  <si>
    <t>years</t>
  </si>
  <si>
    <t xml:space="preserve">    Total Capital Investment</t>
  </si>
  <si>
    <t>Original Value</t>
  </si>
  <si>
    <t>Salvage Value</t>
  </si>
  <si>
    <t>Subtotal Operating Costs</t>
  </si>
  <si>
    <t xml:space="preserve">         (Operating interest is charged on one half of the subtotal operating costs)</t>
  </si>
  <si>
    <r>
      <t>Original Cost + Salvage Value</t>
    </r>
    <r>
      <rPr>
        <b/>
        <sz val="12"/>
        <rFont val="Arial"/>
        <family val="2"/>
      </rPr>
      <t xml:space="preserve"> x Investment Rate</t>
    </r>
  </si>
  <si>
    <t>Original Cost - Salvage Value</t>
  </si>
  <si>
    <t>2.  Buildings and equipment are valued at new cost.</t>
  </si>
  <si>
    <t>% investment rate</t>
  </si>
  <si>
    <t xml:space="preserve">   Total </t>
  </si>
  <si>
    <t xml:space="preserve">    Total </t>
  </si>
  <si>
    <t>Total Bldg., Mach. &amp; Equip.</t>
  </si>
  <si>
    <t>Total Capital Investment</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</si>
  <si>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</si>
  <si>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</si>
  <si>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</si>
  <si>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For further information contact your local MAFRI office.</t>
  </si>
  <si>
    <t xml:space="preserve">Business Development Specialist </t>
  </si>
  <si>
    <t xml:space="preserve">        B. Operating &amp; labour Costs</t>
  </si>
  <si>
    <t xml:space="preserve">        C. Operating &amp; Fixed Costs</t>
  </si>
  <si>
    <t xml:space="preserve">        D. Operating, Fixed &amp; Labour Costs</t>
  </si>
  <si>
    <t>/ hour</t>
  </si>
  <si>
    <t xml:space="preserve"> Days per year</t>
  </si>
  <si>
    <t xml:space="preserve"> Hours operation per day</t>
  </si>
  <si>
    <t xml:space="preserve"> Labour Rate</t>
  </si>
  <si>
    <t xml:space="preserve"> / kWhr</t>
  </si>
  <si>
    <t xml:space="preserve"> Maintenance</t>
  </si>
  <si>
    <t xml:space="preserve"> Insurance</t>
  </si>
  <si>
    <t xml:space="preserve"> Property taxes</t>
  </si>
  <si>
    <t xml:space="preserve">   Buildings </t>
  </si>
  <si>
    <t xml:space="preserve">    Total Bldg., Mach. &amp; Equip </t>
  </si>
  <si>
    <t xml:space="preserve"> / year</t>
  </si>
  <si>
    <t xml:space="preserve">    4.03   Land</t>
  </si>
  <si>
    <t xml:space="preserve"> Investment Rate  </t>
  </si>
  <si>
    <t xml:space="preserve"> Operating Interest Rate  </t>
  </si>
  <si>
    <t xml:space="preserve"> Labour Rate per hour</t>
  </si>
  <si>
    <t>capital cost - buildings</t>
  </si>
  <si>
    <t>capital cost - equipment</t>
  </si>
  <si>
    <t>Total bldg. &amp; equipment</t>
  </si>
  <si>
    <t>Total Maintenance</t>
  </si>
  <si>
    <t>misc. administration</t>
  </si>
  <si>
    <t>Insurance rate</t>
  </si>
  <si>
    <t>Maintenance rate</t>
  </si>
  <si>
    <t>Total Insurance</t>
  </si>
  <si>
    <t>capital cost - land</t>
  </si>
  <si>
    <t>Total bldg. &amp; land</t>
  </si>
  <si>
    <t>Property tax rate</t>
  </si>
  <si>
    <t>Total Property tax</t>
  </si>
  <si>
    <t>Operating Interest</t>
  </si>
  <si>
    <t>% operating interest rate</t>
  </si>
  <si>
    <t>Labour</t>
  </si>
  <si>
    <t xml:space="preserve">  Buildings</t>
  </si>
  <si>
    <t>Total Land Value</t>
  </si>
  <si>
    <t xml:space="preserve">    Total Land Value</t>
  </si>
  <si>
    <t>3.01  Buildings</t>
  </si>
  <si>
    <t>4.03  Land</t>
  </si>
  <si>
    <t>land</t>
  </si>
  <si>
    <t>Roy Arnott, P.Ag.</t>
  </si>
  <si>
    <t>Killarney GO Centre 204-523-6424</t>
  </si>
  <si>
    <t>Total Value - Cost of Production</t>
  </si>
  <si>
    <t>5.  Value</t>
  </si>
  <si>
    <t>Total Value</t>
  </si>
  <si>
    <t xml:space="preserve">This guide is designed to provide you with planning information and a format for calculating costs of production for on-farm wind power production. Sale of electricty excess power beyond consumption are not included. Adjustments will be necessary when applying these figures to your own enterprise. </t>
  </si>
  <si>
    <t xml:space="preserve">The budget estimates are based on a number of assumptions which are clearly defined in the supporting pages.  Input costs are based on industry information. Proper equipment management in the production process and compliance to all applicable environmental requirements is assumed.  </t>
  </si>
  <si>
    <r>
      <t>Disclaimer</t>
    </r>
    <r>
      <rPr>
        <sz val="12"/>
        <rFont val="Tahoma"/>
        <family val="2"/>
      </rPr>
      <t>: This budget is only a guide and is not intended as an in depth study of the cost of production of the Manitoba wind power industry. Interpretation and utilization of this information is the responsibility of the user. If you require assistance with developing your individual budget, please contact your local MAFRI Business Development Specialist.</t>
    </r>
  </si>
  <si>
    <t>Wind Power Production</t>
  </si>
  <si>
    <t xml:space="preserve"> Wind turbine size - kilowatts (kW)</t>
  </si>
  <si>
    <t xml:space="preserve"> Capital incentive or grant</t>
  </si>
  <si>
    <t xml:space="preserve"> MB Hydro residential rate</t>
  </si>
  <si>
    <t xml:space="preserve"> Misc. Administration or fees</t>
  </si>
  <si>
    <t xml:space="preserve">    Wind turbine</t>
  </si>
  <si>
    <t>On-Farm Wind Energy Production Costs</t>
  </si>
  <si>
    <t>Wind Energy Production Costs - Input</t>
  </si>
  <si>
    <t>1.  This budget outlines the cost of production for on-farm wind electricty generation operation.</t>
  </si>
  <si>
    <t>Wind Energy Production Worksheet</t>
  </si>
  <si>
    <t>kWHr electricty produced</t>
  </si>
  <si>
    <t>Wind turbine size - kilowatts (kW)</t>
  </si>
  <si>
    <t>Capacity factor - annual</t>
  </si>
  <si>
    <t>Days per year</t>
  </si>
  <si>
    <t>Hours operation per day</t>
  </si>
  <si>
    <t>MB Hydro rate per kWHr</t>
  </si>
  <si>
    <t>kWHr electricity produced</t>
  </si>
  <si>
    <t>A. Energy Produced</t>
  </si>
  <si>
    <t>kWHr</t>
  </si>
  <si>
    <t>B.  Operating Costs</t>
  </si>
  <si>
    <t>B. Operating Costs</t>
  </si>
  <si>
    <t>Cost/kWHr</t>
  </si>
  <si>
    <t>C.  Fixed Costs</t>
  </si>
  <si>
    <t>2.01  Maintenance</t>
  </si>
  <si>
    <t>2.02  Misc. Administration or fees</t>
  </si>
  <si>
    <t>2.03  Insurance</t>
  </si>
  <si>
    <t>2.04 Property Taxes</t>
  </si>
  <si>
    <t>2.05  Operating Interest</t>
  </si>
  <si>
    <t xml:space="preserve">    2.01   Maintenance</t>
  </si>
  <si>
    <t xml:space="preserve">    2.02   Misc. Administration</t>
  </si>
  <si>
    <t xml:space="preserve">    2.03   Insurance</t>
  </si>
  <si>
    <t xml:space="preserve">    2.04   Property Taxes</t>
  </si>
  <si>
    <t xml:space="preserve">    2.05   Operating Interest</t>
  </si>
  <si>
    <t xml:space="preserve">        Wind turbine</t>
  </si>
  <si>
    <t>C. Fixed Costs</t>
  </si>
  <si>
    <t>D.  Labour</t>
  </si>
  <si>
    <t>D. Labour</t>
  </si>
  <si>
    <t xml:space="preserve"> Hours inspection per week</t>
  </si>
  <si>
    <t>E.  Value</t>
  </si>
  <si>
    <t>Electricity Value</t>
  </si>
  <si>
    <t xml:space="preserve"> $kWHr</t>
  </si>
  <si>
    <t xml:space="preserve">    1.01  Total Annual Electricity Produced</t>
  </si>
  <si>
    <t xml:space="preserve"> Desired Simple Payback</t>
  </si>
  <si>
    <t xml:space="preserve"> years</t>
  </si>
  <si>
    <t xml:space="preserve">    5.01   Estimated Annual On-Farm Energy Value</t>
  </si>
  <si>
    <t xml:space="preserve">Estimated Return on Assets (ROA) </t>
  </si>
  <si>
    <t xml:space="preserve"> Manitoba Sales Tax on Hydro</t>
  </si>
  <si>
    <t xml:space="preserve"> Federal GST Tax</t>
  </si>
  <si>
    <t>Manitoba Sales Tax - Hydro</t>
  </si>
  <si>
    <t xml:space="preserve">Federal GST </t>
  </si>
  <si>
    <r>
      <t>Years</t>
    </r>
    <r>
      <rPr>
        <vertAlign val="superscript"/>
        <sz val="12"/>
        <rFont val="Arial"/>
        <family val="2"/>
      </rPr>
      <t>1</t>
    </r>
  </si>
  <si>
    <t>Simple Payback Calculation</t>
  </si>
  <si>
    <r>
      <t>Years</t>
    </r>
    <r>
      <rPr>
        <vertAlign val="superscript"/>
        <sz val="12"/>
        <rFont val="Arial"/>
        <family val="2"/>
      </rPr>
      <t>2</t>
    </r>
  </si>
  <si>
    <t xml:space="preserve">    Bidirectional Hydro meter</t>
  </si>
  <si>
    <t xml:space="preserve">    Tower</t>
  </si>
  <si>
    <t xml:space="preserve">    Tower installation</t>
  </si>
  <si>
    <t xml:space="preserve">    Grid tie electrical panel (installation)</t>
  </si>
  <si>
    <t xml:space="preserve"> Estimated Hydro rate annual inflation</t>
  </si>
  <si>
    <t xml:space="preserve">        Tower</t>
  </si>
  <si>
    <t xml:space="preserve">        Tower installation</t>
  </si>
  <si>
    <t xml:space="preserve">        Bidirectional Hydro meter</t>
  </si>
  <si>
    <t xml:space="preserve">        Grid tie electrical panel (installation)</t>
  </si>
  <si>
    <t>Total turbine installed cost</t>
  </si>
  <si>
    <t>Net power output (kW)</t>
  </si>
  <si>
    <t>Cost per installed kW - net power output</t>
  </si>
  <si>
    <t xml:space="preserve">        Capital grant or incentive</t>
  </si>
  <si>
    <t xml:space="preserve">    Capital grant or incentive</t>
  </si>
  <si>
    <t xml:space="preserve"> Expected Turbine Lifespan</t>
  </si>
  <si>
    <t>Per kWHr</t>
  </si>
  <si>
    <t>Maximum</t>
  </si>
  <si>
    <t>Minimum</t>
  </si>
  <si>
    <t xml:space="preserve">              Capacity Factor</t>
  </si>
  <si>
    <t xml:space="preserve"> Cost</t>
  </si>
  <si>
    <t>1.01  Minimum Annual Production</t>
  </si>
  <si>
    <t xml:space="preserve">         Maximum Annual Production</t>
  </si>
  <si>
    <t>A.  Energy Produced - estimated range</t>
  </si>
  <si>
    <t xml:space="preserve"> Max. Capacity factor - Cdn Wind Atlas 90 ft formula</t>
  </si>
  <si>
    <t xml:space="preserve"> Min. 'Realized' Capacity Factor (% of maximum)</t>
  </si>
  <si>
    <t>Max. Capacity factor - Cdn Wind Atlas 90 ft formula</t>
  </si>
  <si>
    <t xml:space="preserve"> Min. 'Realized' Capacity Factor (% of Max.)</t>
  </si>
  <si>
    <t>5.01  Minimum Estimated Annual On-Farm Energy value</t>
  </si>
  <si>
    <t xml:space="preserve">    1.02  Cost / installed kW - net power output</t>
  </si>
  <si>
    <t xml:space="preserve">          Maximum Estimated Annual On-Farm Energy value</t>
  </si>
  <si>
    <t>Based on:</t>
  </si>
  <si>
    <t xml:space="preserve">    Breakeven Price $/kWHr = Cost ÷ kWHrs</t>
  </si>
  <si>
    <t xml:space="preserve">         Future Estimated Average MB Hydro rate</t>
  </si>
  <si>
    <t xml:space="preserve">         Future Estimated  MB Hydro rate</t>
  </si>
  <si>
    <t>Summary Calculations</t>
  </si>
  <si>
    <t xml:space="preserve">          Future Minimum Estimated Average Annual On-Farm Energy value</t>
  </si>
  <si>
    <t xml:space="preserve">          Future Maximum Estimated Average Annual On-Farm Energy value</t>
  </si>
  <si>
    <t xml:space="preserve">       without MB Hydro rate inflation</t>
  </si>
  <si>
    <t xml:space="preserve">          Estimated Return on Asset (ROA) - without MB Hydro rate inflation</t>
  </si>
  <si>
    <t>Electricity Value - minimum range</t>
  </si>
  <si>
    <t>ROA</t>
  </si>
  <si>
    <t xml:space="preserve">    A. Without MB Hydro rate inflation</t>
  </si>
  <si>
    <t>Years</t>
  </si>
  <si>
    <t>Years Payback</t>
  </si>
  <si>
    <t>Electricity Value - maximum range</t>
  </si>
  <si>
    <t xml:space="preserve">    C. Max.Capital Cost w/o Hydro rate inflation</t>
  </si>
  <si>
    <r>
      <t xml:space="preserve"> * </t>
    </r>
    <r>
      <rPr>
        <vertAlign val="superscript"/>
        <sz val="12"/>
        <rFont val="Arial"/>
        <family val="2"/>
      </rPr>
      <t>1</t>
    </r>
  </si>
  <si>
    <r>
      <t xml:space="preserve"> * </t>
    </r>
    <r>
      <rPr>
        <vertAlign val="superscript"/>
        <sz val="12"/>
        <rFont val="Arial"/>
        <family val="2"/>
      </rPr>
      <t>2</t>
    </r>
  </si>
  <si>
    <t>3.  Capacity factor is based on Canadian Wind Atlas 90 foot turbine formula.</t>
  </si>
  <si>
    <t>4.  Minimum production based on actual vs. predicted kWHr production case studies.</t>
  </si>
  <si>
    <t>5.  Annual kWHr production could vary from significantly from minimum or maximum estimates</t>
  </si>
  <si>
    <t xml:space="preserve">          Cost per installed kW - net power output (maximum estimated annual production)</t>
  </si>
  <si>
    <t>1.02  Cost per installed kW - net power output (minimum estimated annual production)</t>
  </si>
  <si>
    <t>6.  All electricity produced is for farm use only.</t>
  </si>
  <si>
    <t xml:space="preserve">     due to decreased turbine height, local site factors, or relative turbine efficiency.</t>
  </si>
  <si>
    <t>November, 2012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</si>
</sst>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000"/>
    <numFmt numFmtId="170" formatCode="#,##0.0000"/>
    <numFmt numFmtId="171" formatCode="&quot;$&quot;#,##0.0000"/>
    <numFmt numFmtId="172" formatCode="&quot;$&quot;#,##0.00"/>
    <numFmt numFmtId="173" formatCode="0.0"/>
    <numFmt numFmtId="174" formatCode="&quot;$&quot;#,##0"/>
    <numFmt numFmtId="175" formatCode="0.0%"/>
    <numFmt numFmtId="176" formatCode="#,##0.0_);[Red]\(#,##0.0\)"/>
    <numFmt numFmtId="177" formatCode="_-&quot;£&quot;* #,##0_-;\-&quot;£&quot;* #,##0_-;_-&quot;£&quot;* &quot;-&quot;_-;_-@_-"/>
    <numFmt numFmtId="178" formatCode="_-&quot;£&quot;* #,##0.00_-;\-&quot;£&quot;* #,##0.00_-;_-&quot;£&quot;* &quot;-&quot;??_-;_-@_-"/>
    <numFmt numFmtId="179" formatCode="&quot;$&quot;#,##0.0000_);[Red]\(&quot;$&quot;#,##0.0000\)"/>
  </numFmts>
  <fonts count="62">
    <font>
      <sz val="12"/>
      <name val="Arial"/>
      <family val="0"/>
    </font>
    <font>
      <sz val="11"/>
      <color indexed="8"/>
      <name val="Calibri"/>
      <family val="2"/>
    </font>
    <font>
      <u val="single"/>
      <sz val="12"/>
      <name val="Arial"/>
      <family val="2"/>
    </font>
    <font>
      <b/>
      <sz val="14"/>
      <color indexed="18"/>
      <name val="Arial"/>
      <family val="2"/>
    </font>
    <font>
      <b/>
      <sz val="12"/>
      <name val="Arial"/>
      <family val="2"/>
    </font>
    <font>
      <b/>
      <u val="single"/>
      <sz val="12"/>
      <name val="Arial"/>
      <family val="2"/>
    </font>
    <font>
      <b/>
      <sz val="12"/>
      <color indexed="12"/>
      <name val="Arial"/>
      <family val="2"/>
    </font>
    <font>
      <sz val="14"/>
      <name val="Arial"/>
      <family val="2"/>
    </font>
    <font>
      <b/>
      <sz val="10"/>
      <color indexed="12"/>
      <name val="Arial"/>
      <family val="2"/>
    </font>
    <font>
      <b/>
      <u val="single"/>
      <sz val="14"/>
      <name val="Arial"/>
      <family val="2"/>
    </font>
    <font>
      <b/>
      <sz val="12"/>
      <color indexed="56"/>
      <name val="Arial"/>
      <family val="2"/>
    </font>
    <font>
      <b/>
      <sz val="14"/>
      <name val="Arial"/>
      <family val="2"/>
    </font>
    <font>
      <sz val="14"/>
      <color indexed="18"/>
      <name val="Arial"/>
      <family val="2"/>
    </font>
    <font>
      <b/>
      <u val="single"/>
      <sz val="12"/>
      <color indexed="12"/>
      <name val="Arial"/>
      <family val="2"/>
    </font>
    <font>
      <b/>
      <i/>
      <sz val="12"/>
      <name val="Arial"/>
      <family val="2"/>
    </font>
    <font>
      <sz val="10"/>
      <name val="Arial"/>
      <family val="2"/>
    </font>
    <font>
      <sz val="10"/>
      <color indexed="12"/>
      <name val="Arial"/>
      <family val="2"/>
    </font>
    <font>
      <b/>
      <sz val="10"/>
      <name val="Arial"/>
      <family val="2"/>
    </font>
    <font>
      <sz val="12"/>
      <color indexed="10"/>
      <name val="Arial"/>
      <family val="2"/>
    </font>
    <font>
      <sz val="8"/>
      <name val="Arial"/>
      <family val="2"/>
    </font>
    <font>
      <b/>
      <sz val="12"/>
      <color indexed="10"/>
      <name val="Arial"/>
      <family val="2"/>
    </font>
    <font>
      <sz val="12"/>
      <name val="Tahoma"/>
      <family val="2"/>
    </font>
    <font>
      <b/>
      <sz val="12"/>
      <name val="Tahoma"/>
      <family val="2"/>
    </font>
    <font>
      <i/>
      <sz val="12"/>
      <name val="Arial"/>
      <family val="2"/>
    </font>
    <font>
      <vertAlign val="superscript"/>
      <sz val="12"/>
      <name val="Arial"/>
      <family val="2"/>
    </font>
    <font>
      <sz val="8"/>
      <name val="Tahoma"/>
      <family val="2"/>
    </font>
    <font>
      <sz val="10"/>
      <name val="Tahoma"/>
      <family val="2"/>
    </font>
    <font>
      <sz val="16"/>
      <color indexed="18"/>
      <name val="Arial"/>
      <family val="2"/>
    </font>
    <font>
      <b/>
      <sz val="2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right/>
      <top style="thin"/>
      <bottom style="thin"/>
    </border>
  </borders>
  <cellStyleXfs count="8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76" fontId="0" fillId="0" borderId="0">
      <alignment/>
      <protection/>
    </xf>
    <xf numFmtId="176" fontId="6" fillId="0" borderId="0">
      <alignment/>
      <protection locked="0"/>
    </xf>
    <xf numFmtId="40" fontId="0" fillId="0" borderId="0">
      <alignment/>
      <protection/>
    </xf>
    <xf numFmtId="4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172" fontId="0" fillId="0" borderId="0">
      <alignment vertical="top"/>
      <protection/>
    </xf>
    <xf numFmtId="0" fontId="0" fillId="32" borderId="7" applyNumberFormat="0" applyFont="0" applyAlignment="0" applyProtection="0"/>
    <xf numFmtId="38" fontId="15" fillId="33" borderId="8">
      <alignment/>
      <protection/>
    </xf>
    <xf numFmtId="38" fontId="16" fillId="0" borderId="8">
      <alignment/>
      <protection locked="0"/>
    </xf>
    <xf numFmtId="176" fontId="15" fillId="34" borderId="8">
      <alignment/>
      <protection/>
    </xf>
    <xf numFmtId="176" fontId="16" fillId="0" borderId="8">
      <alignment/>
      <protection locked="0"/>
    </xf>
    <xf numFmtId="40" fontId="15" fillId="34" borderId="8">
      <alignment/>
      <protection/>
    </xf>
    <xf numFmtId="40" fontId="16" fillId="0" borderId="8">
      <alignment/>
      <protection locked="0"/>
    </xf>
    <xf numFmtId="0" fontId="57" fillId="27" borderId="9" applyNumberFormat="0" applyAlignment="0" applyProtection="0"/>
    <xf numFmtId="9" fontId="0" fillId="0" borderId="0" applyFont="0" applyFill="0" applyBorder="0" applyAlignment="0" applyProtection="0"/>
    <xf numFmtId="10" fontId="0" fillId="0" borderId="0">
      <alignment/>
      <protection/>
    </xf>
    <xf numFmtId="10" fontId="16" fillId="35" borderId="8">
      <alignment/>
      <protection locked="0"/>
    </xf>
    <xf numFmtId="0" fontId="15" fillId="36" borderId="0">
      <alignment/>
      <protection/>
    </xf>
    <xf numFmtId="0" fontId="58" fillId="0" borderId="0" applyNumberFormat="0" applyFill="0" applyBorder="0" applyAlignment="0" applyProtection="0"/>
    <xf numFmtId="0" fontId="59" fillId="0" borderId="10" applyNumberFormat="0" applyFill="0" applyAlignment="0" applyProtection="0"/>
    <xf numFmtId="177" fontId="15" fillId="0" borderId="0" applyFont="0" applyFill="0" applyBorder="0" applyAlignment="0" applyProtection="0"/>
    <xf numFmtId="178" fontId="15" fillId="0" borderId="0" applyFont="0" applyFill="0" applyBorder="0" applyAlignment="0" applyProtection="0"/>
    <xf numFmtId="0" fontId="60" fillId="0" borderId="0" applyNumberFormat="0" applyFill="0" applyBorder="0" applyAlignment="0" applyProtection="0"/>
  </cellStyleXfs>
  <cellXfs count="223">
    <xf numFmtId="3" fontId="0" fillId="0" borderId="0" xfId="0" applyNumberFormat="1" applyAlignment="1">
      <alignment/>
    </xf>
    <xf numFmtId="172" fontId="0" fillId="0" borderId="0" xfId="65">
      <alignment vertical="top"/>
      <protection/>
    </xf>
    <xf numFmtId="0" fontId="0" fillId="0" borderId="0" xfId="65" applyNumberFormat="1" applyFont="1" applyAlignment="1">
      <alignment horizontal="left" vertical="justify" wrapText="1"/>
      <protection/>
    </xf>
    <xf numFmtId="3" fontId="0" fillId="0" borderId="0" xfId="0" applyNumberFormat="1" applyAlignment="1" applyProtection="1">
      <alignment/>
      <protection/>
    </xf>
    <xf numFmtId="3" fontId="4" fillId="0" borderId="0" xfId="0" applyNumberFormat="1" applyFont="1" applyAlignment="1" applyProtection="1">
      <alignment/>
      <protection/>
    </xf>
    <xf numFmtId="166" fontId="0" fillId="0" borderId="0" xfId="0" applyNumberFormat="1" applyAlignment="1" applyProtection="1">
      <alignment/>
      <protection/>
    </xf>
    <xf numFmtId="166" fontId="5" fillId="0" borderId="0" xfId="0" applyNumberFormat="1" applyFont="1" applyAlignment="1" applyProtection="1">
      <alignment horizontal="right"/>
      <protection/>
    </xf>
    <xf numFmtId="3" fontId="6" fillId="0" borderId="0" xfId="0" applyNumberFormat="1" applyFont="1" applyAlignment="1" applyProtection="1">
      <alignment/>
      <protection/>
    </xf>
    <xf numFmtId="3" fontId="4" fillId="0" borderId="0" xfId="0" applyNumberFormat="1" applyFont="1" applyAlignment="1" applyProtection="1">
      <alignment horizontal="right"/>
      <protection/>
    </xf>
    <xf numFmtId="3" fontId="9" fillId="0" borderId="0" xfId="0" applyNumberFormat="1" applyFont="1" applyAlignment="1" applyProtection="1">
      <alignment horizontal="center"/>
      <protection/>
    </xf>
    <xf numFmtId="3" fontId="10" fillId="0" borderId="0" xfId="0" applyNumberFormat="1" applyFont="1" applyAlignment="1" applyProtection="1">
      <alignment/>
      <protection/>
    </xf>
    <xf numFmtId="174" fontId="4" fillId="0" borderId="0" xfId="0" applyNumberFormat="1" applyFont="1" applyAlignment="1" applyProtection="1">
      <alignment/>
      <protection/>
    </xf>
    <xf numFmtId="174" fontId="0" fillId="0" borderId="0" xfId="0" applyNumberFormat="1" applyAlignment="1" applyProtection="1">
      <alignment/>
      <protection/>
    </xf>
    <xf numFmtId="172" fontId="0" fillId="0" borderId="0" xfId="0" applyNumberFormat="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lignment/>
    </xf>
    <xf numFmtId="0" fontId="11" fillId="0" borderId="0" xfId="0" applyFont="1" applyAlignment="1" applyProtection="1">
      <alignment/>
      <protection/>
    </xf>
    <xf numFmtId="3" fontId="12" fillId="0" borderId="0" xfId="0" applyNumberFormat="1" applyFont="1" applyAlignment="1" applyProtection="1">
      <alignment horizontal="center"/>
      <protection/>
    </xf>
    <xf numFmtId="3" fontId="0" fillId="0" borderId="0" xfId="0" applyNumberFormat="1" applyFont="1" applyAlignment="1" applyProtection="1">
      <alignment/>
      <protection/>
    </xf>
    <xf numFmtId="0" fontId="4" fillId="0" borderId="0" xfId="0" applyFont="1" applyAlignment="1" applyProtection="1">
      <alignment/>
      <protection/>
    </xf>
    <xf numFmtId="4" fontId="0" fillId="0" borderId="0" xfId="0" applyNumberFormat="1" applyFont="1" applyAlignment="1" applyProtection="1">
      <alignment/>
      <protection/>
    </xf>
    <xf numFmtId="3" fontId="0" fillId="0" borderId="11"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172" fontId="4" fillId="0" borderId="0" xfId="0" applyNumberFormat="1" applyFont="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Alignment="1">
      <alignment/>
    </xf>
    <xf numFmtId="174" fontId="0" fillId="0" borderId="0" xfId="0" applyNumberFormat="1" applyFont="1" applyAlignment="1" applyProtection="1">
      <alignment/>
      <protection/>
    </xf>
    <xf numFmtId="3" fontId="14" fillId="0" borderId="0" xfId="0" applyNumberFormat="1" applyFont="1" applyAlignment="1" applyProtection="1">
      <alignment/>
      <protection/>
    </xf>
    <xf numFmtId="164" fontId="0" fillId="0" borderId="0" xfId="0" applyNumberFormat="1" applyFont="1" applyAlignment="1" applyProtection="1">
      <alignment/>
      <protection/>
    </xf>
    <xf numFmtId="3" fontId="4" fillId="0" borderId="0" xfId="0" applyNumberFormat="1" applyFont="1" applyAlignment="1" applyProtection="1">
      <alignment horizontal="center"/>
      <protection/>
    </xf>
    <xf numFmtId="3" fontId="4" fillId="0" borderId="0" xfId="0" applyNumberFormat="1" applyFont="1" applyAlignment="1" applyProtection="1" quotePrefix="1">
      <alignment horizontal="right"/>
      <protection/>
    </xf>
    <xf numFmtId="0" fontId="4" fillId="0" borderId="12" xfId="0" applyFont="1" applyBorder="1" applyAlignment="1" applyProtection="1">
      <alignment/>
      <protection/>
    </xf>
    <xf numFmtId="0" fontId="0" fillId="0" borderId="12" xfId="0" applyFont="1" applyBorder="1" applyAlignment="1" applyProtection="1">
      <alignment/>
      <protection/>
    </xf>
    <xf numFmtId="0" fontId="0" fillId="0" borderId="0" xfId="0" applyFont="1" applyBorder="1" applyAlignment="1" applyProtection="1">
      <alignment/>
      <protection/>
    </xf>
    <xf numFmtId="3" fontId="2" fillId="0" borderId="0" xfId="0" applyNumberFormat="1" applyFont="1" applyAlignment="1" applyProtection="1">
      <alignment/>
      <protection/>
    </xf>
    <xf numFmtId="164" fontId="4" fillId="0" borderId="0" xfId="0" applyNumberFormat="1" applyFont="1" applyAlignment="1" applyProtection="1">
      <alignment/>
      <protection/>
    </xf>
    <xf numFmtId="3" fontId="0" fillId="0" borderId="13" xfId="0" applyNumberFormat="1" applyFont="1" applyBorder="1" applyAlignment="1" applyProtection="1">
      <alignment/>
      <protection/>
    </xf>
    <xf numFmtId="3" fontId="0" fillId="0" borderId="0" xfId="0" applyNumberFormat="1" applyFont="1" applyBorder="1" applyAlignment="1" applyProtection="1">
      <alignment/>
      <protection/>
    </xf>
    <xf numFmtId="3" fontId="5" fillId="0" borderId="0" xfId="0" applyNumberFormat="1" applyFont="1" applyAlignment="1" applyProtection="1">
      <alignment horizontal="left"/>
      <protection/>
    </xf>
    <xf numFmtId="3" fontId="4" fillId="0" borderId="11" xfId="0" applyNumberFormat="1" applyFont="1" applyBorder="1" applyAlignment="1" applyProtection="1">
      <alignment horizontal="right"/>
      <protection/>
    </xf>
    <xf numFmtId="165" fontId="4" fillId="0" borderId="13" xfId="44" applyFont="1" applyBorder="1">
      <alignment/>
      <protection/>
    </xf>
    <xf numFmtId="174" fontId="0" fillId="0" borderId="0" xfId="46" applyNumberFormat="1">
      <alignment/>
      <protection/>
    </xf>
    <xf numFmtId="174" fontId="4" fillId="0" borderId="0" xfId="44" applyNumberFormat="1" applyFont="1">
      <alignment/>
      <protection/>
    </xf>
    <xf numFmtId="172" fontId="2" fillId="0" borderId="0" xfId="46" applyNumberFormat="1" applyFont="1">
      <alignment/>
      <protection/>
    </xf>
    <xf numFmtId="174" fontId="0" fillId="0" borderId="0" xfId="44" applyNumberFormat="1">
      <alignment/>
      <protection/>
    </xf>
    <xf numFmtId="174" fontId="2" fillId="0" borderId="0" xfId="44" applyNumberFormat="1" applyFont="1">
      <alignment/>
      <protection/>
    </xf>
    <xf numFmtId="164"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174" fontId="5" fillId="0" borderId="0" xfId="44" applyNumberFormat="1" applyFont="1" applyBorder="1">
      <alignment/>
      <protection/>
    </xf>
    <xf numFmtId="3" fontId="15" fillId="0" borderId="0" xfId="0" applyNumberFormat="1" applyFont="1" applyAlignment="1" applyProtection="1">
      <alignment/>
      <protection/>
    </xf>
    <xf numFmtId="175" fontId="6" fillId="0" borderId="0" xfId="0" applyNumberFormat="1" applyFont="1" applyAlignment="1" applyProtection="1">
      <alignment/>
      <protection/>
    </xf>
    <xf numFmtId="166" fontId="6" fillId="0" borderId="0" xfId="0" applyNumberFormat="1" applyFont="1" applyAlignment="1" applyProtection="1">
      <alignment/>
      <protection/>
    </xf>
    <xf numFmtId="3" fontId="13" fillId="0" borderId="0" xfId="0" applyNumberFormat="1" applyFont="1" applyAlignment="1" applyProtection="1">
      <alignment horizontal="left"/>
      <protection/>
    </xf>
    <xf numFmtId="172" fontId="0" fillId="0" borderId="0" xfId="65" applyAlignment="1">
      <alignment horizontal="left" vertical="top"/>
      <protection/>
    </xf>
    <xf numFmtId="3" fontId="0" fillId="0" borderId="0" xfId="0" applyNumberFormat="1" applyAlignment="1">
      <alignment vertical="top"/>
    </xf>
    <xf numFmtId="174" fontId="0" fillId="0" borderId="0" xfId="48" applyNumberFormat="1">
      <alignment/>
      <protection/>
    </xf>
    <xf numFmtId="174" fontId="2" fillId="0" borderId="0" xfId="48" applyNumberFormat="1" applyFont="1" applyBorder="1">
      <alignment/>
      <protection/>
    </xf>
    <xf numFmtId="174" fontId="0" fillId="0" borderId="0" xfId="48" applyNumberFormat="1" applyBorder="1">
      <alignment/>
      <protection/>
    </xf>
    <xf numFmtId="4" fontId="0" fillId="0" borderId="0" xfId="48" applyNumberFormat="1">
      <alignment/>
      <protection/>
    </xf>
    <xf numFmtId="4" fontId="2" fillId="0" borderId="0" xfId="52" applyNumberFormat="1" applyFont="1">
      <alignment/>
      <protection/>
    </xf>
    <xf numFmtId="4" fontId="2" fillId="0" borderId="0" xfId="48" applyNumberFormat="1" applyFont="1">
      <alignment/>
      <protection/>
    </xf>
    <xf numFmtId="3" fontId="20" fillId="0" borderId="0" xfId="0" applyNumberFormat="1" applyFont="1" applyAlignment="1">
      <alignment/>
    </xf>
    <xf numFmtId="172" fontId="18" fillId="0" borderId="0" xfId="65" applyFont="1" applyAlignment="1" applyProtection="1">
      <alignment vertical="top"/>
      <protection locked="0"/>
    </xf>
    <xf numFmtId="3" fontId="0" fillId="0" borderId="0" xfId="0" applyNumberFormat="1" applyAlignment="1" applyProtection="1">
      <alignment vertical="top"/>
      <protection locked="0"/>
    </xf>
    <xf numFmtId="172" fontId="22" fillId="0" borderId="0" xfId="65" applyFont="1" applyAlignment="1">
      <alignment horizontal="right" vertical="top"/>
      <protection/>
    </xf>
    <xf numFmtId="17" fontId="22" fillId="0" borderId="0" xfId="65" applyNumberFormat="1" applyFont="1" applyAlignment="1">
      <alignment horizontal="right" vertical="top"/>
      <protection/>
    </xf>
    <xf numFmtId="166" fontId="4" fillId="0" borderId="0" xfId="0" applyNumberFormat="1" applyFont="1" applyBorder="1" applyAlignment="1" applyProtection="1">
      <alignment horizontal="right"/>
      <protection/>
    </xf>
    <xf numFmtId="174" fontId="2" fillId="0" borderId="0" xfId="48" applyNumberFormat="1" applyFont="1">
      <alignment/>
      <protection/>
    </xf>
    <xf numFmtId="3" fontId="11" fillId="0" borderId="0" xfId="0" applyNumberFormat="1" applyFont="1" applyAlignment="1">
      <alignment/>
    </xf>
    <xf numFmtId="3" fontId="0" fillId="0" borderId="0" xfId="46" applyNumberFormat="1" applyFont="1">
      <alignment/>
      <protection/>
    </xf>
    <xf numFmtId="174" fontId="4" fillId="0" borderId="0" xfId="46" applyNumberFormat="1" applyFont="1">
      <alignment/>
      <protection/>
    </xf>
    <xf numFmtId="168" fontId="4" fillId="0" borderId="0" xfId="46" applyNumberFormat="1" applyFont="1">
      <alignment/>
      <protection/>
    </xf>
    <xf numFmtId="3" fontId="2" fillId="0" borderId="0" xfId="0" applyNumberFormat="1" applyFont="1" applyAlignment="1" applyProtection="1">
      <alignment/>
      <protection/>
    </xf>
    <xf numFmtId="3" fontId="0" fillId="0" borderId="0" xfId="0" applyNumberFormat="1" applyFont="1" applyAlignment="1" applyProtection="1">
      <alignment/>
      <protection/>
    </xf>
    <xf numFmtId="3" fontId="23" fillId="0" borderId="0" xfId="0" applyNumberFormat="1" applyFont="1" applyAlignment="1" applyProtection="1">
      <alignment/>
      <protection/>
    </xf>
    <xf numFmtId="171" fontId="12" fillId="0" borderId="0" xfId="0" applyNumberFormat="1" applyFont="1" applyAlignment="1" applyProtection="1">
      <alignment horizontal="center"/>
      <protection/>
    </xf>
    <xf numFmtId="171" fontId="5" fillId="0" borderId="0" xfId="0" applyNumberFormat="1" applyFont="1" applyBorder="1" applyAlignment="1" applyProtection="1">
      <alignment horizontal="right"/>
      <protection/>
    </xf>
    <xf numFmtId="171" fontId="0" fillId="0" borderId="0" xfId="0" applyNumberFormat="1" applyFont="1" applyAlignment="1" applyProtection="1">
      <alignment/>
      <protection/>
    </xf>
    <xf numFmtId="171" fontId="0" fillId="0" borderId="0" xfId="52" applyNumberFormat="1">
      <alignment/>
      <protection/>
    </xf>
    <xf numFmtId="171" fontId="4" fillId="0" borderId="0" xfId="46" applyNumberFormat="1" applyFont="1">
      <alignment/>
      <protection/>
    </xf>
    <xf numFmtId="171" fontId="4" fillId="0" borderId="0" xfId="0" applyNumberFormat="1" applyFont="1" applyAlignment="1" applyProtection="1">
      <alignment/>
      <protection/>
    </xf>
    <xf numFmtId="171" fontId="2" fillId="0" borderId="0" xfId="52" applyNumberFormat="1" applyFont="1">
      <alignment/>
      <protection/>
    </xf>
    <xf numFmtId="171" fontId="5" fillId="0" borderId="0" xfId="46" applyNumberFormat="1" applyFont="1" applyBorder="1">
      <alignment/>
      <protection/>
    </xf>
    <xf numFmtId="171" fontId="0" fillId="0" borderId="13" xfId="0" applyNumberFormat="1" applyFont="1" applyBorder="1" applyAlignment="1" applyProtection="1">
      <alignment/>
      <protection/>
    </xf>
    <xf numFmtId="171" fontId="0" fillId="0" borderId="0" xfId="46" applyNumberFormat="1">
      <alignment/>
      <protection/>
    </xf>
    <xf numFmtId="171" fontId="0" fillId="0" borderId="0" xfId="0" applyNumberFormat="1" applyFont="1" applyBorder="1" applyAlignment="1" applyProtection="1">
      <alignment/>
      <protection/>
    </xf>
    <xf numFmtId="171" fontId="7" fillId="0" borderId="0" xfId="0" applyNumberFormat="1" applyFont="1" applyAlignment="1">
      <alignment/>
    </xf>
    <xf numFmtId="175" fontId="2" fillId="0" borderId="0" xfId="46" applyNumberFormat="1" applyFont="1">
      <alignment/>
      <protection/>
    </xf>
    <xf numFmtId="174" fontId="4" fillId="0" borderId="0" xfId="52" applyNumberFormat="1" applyFont="1">
      <alignment/>
      <protection/>
    </xf>
    <xf numFmtId="171" fontId="4" fillId="0" borderId="0" xfId="52" applyNumberFormat="1" applyFont="1">
      <alignment/>
      <protection/>
    </xf>
    <xf numFmtId="3" fontId="4" fillId="0" borderId="11" xfId="0" applyNumberFormat="1" applyFont="1" applyBorder="1" applyAlignment="1" applyProtection="1">
      <alignment/>
      <protection/>
    </xf>
    <xf numFmtId="168" fontId="4" fillId="0" borderId="0" xfId="50" applyNumberFormat="1" applyFont="1">
      <alignment/>
      <protection/>
    </xf>
    <xf numFmtId="3" fontId="4" fillId="0" borderId="0" xfId="0" applyNumberFormat="1" applyFont="1" applyAlignment="1">
      <alignment/>
    </xf>
    <xf numFmtId="174" fontId="2" fillId="0" borderId="0" xfId="52" applyNumberFormat="1" applyFont="1">
      <alignment/>
      <protection/>
    </xf>
    <xf numFmtId="0" fontId="0" fillId="0" borderId="0" xfId="0" applyNumberFormat="1" applyFont="1" applyAlignment="1" applyProtection="1">
      <alignment/>
      <protection/>
    </xf>
    <xf numFmtId="171" fontId="5" fillId="0" borderId="0" xfId="0" applyNumberFormat="1" applyFont="1" applyBorder="1" applyAlignment="1" applyProtection="1">
      <alignment horizontal="center"/>
      <protection/>
    </xf>
    <xf numFmtId="167" fontId="6" fillId="0" borderId="0" xfId="53" applyNumberFormat="1" applyProtection="1">
      <alignment/>
      <protection/>
    </xf>
    <xf numFmtId="174" fontId="4" fillId="0" borderId="0" xfId="48" applyNumberFormat="1" applyFont="1" applyProtection="1">
      <alignment/>
      <protection/>
    </xf>
    <xf numFmtId="176" fontId="4" fillId="0" borderId="0" xfId="49" applyNumberFormat="1" applyFont="1" applyProtection="1">
      <alignment/>
      <protection/>
    </xf>
    <xf numFmtId="174" fontId="4" fillId="0" borderId="0" xfId="44" applyNumberFormat="1" applyFont="1" applyProtection="1">
      <alignment/>
      <protection/>
    </xf>
    <xf numFmtId="3" fontId="4" fillId="0" borderId="0" xfId="44" applyNumberFormat="1" applyFont="1" applyProtection="1">
      <alignment/>
      <protection/>
    </xf>
    <xf numFmtId="38" fontId="6" fillId="0" borderId="0" xfId="49" applyProtection="1">
      <alignment/>
      <protection locked="0"/>
    </xf>
    <xf numFmtId="38" fontId="6" fillId="0" borderId="0" xfId="53" applyNumberFormat="1" applyProtection="1">
      <alignment/>
      <protection locked="0"/>
    </xf>
    <xf numFmtId="172" fontId="6" fillId="0" borderId="0" xfId="47" applyNumberFormat="1" applyProtection="1">
      <alignment/>
      <protection locked="0"/>
    </xf>
    <xf numFmtId="168" fontId="6" fillId="0" borderId="0" xfId="47" applyNumberFormat="1" applyProtection="1">
      <alignment/>
      <protection locked="0"/>
    </xf>
    <xf numFmtId="176" fontId="6" fillId="0" borderId="0" xfId="53" applyNumberFormat="1" applyProtection="1">
      <alignment/>
      <protection locked="0"/>
    </xf>
    <xf numFmtId="174" fontId="6" fillId="0" borderId="0" xfId="47" applyNumberFormat="1" applyProtection="1">
      <alignment/>
      <protection locked="0"/>
    </xf>
    <xf numFmtId="38" fontId="13" fillId="0" borderId="0" xfId="49" applyFont="1" applyProtection="1">
      <alignment/>
      <protection locked="0"/>
    </xf>
    <xf numFmtId="174" fontId="6" fillId="0" borderId="0" xfId="44" applyNumberFormat="1" applyFont="1" applyProtection="1">
      <alignment/>
      <protection locked="0"/>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176" fontId="6" fillId="0" borderId="0" xfId="49" applyNumberFormat="1" applyProtection="1">
      <alignment/>
      <protection locked="0"/>
    </xf>
    <xf numFmtId="171" fontId="6" fillId="0" borderId="0" xfId="47" applyNumberFormat="1" applyProtection="1">
      <alignment/>
      <protection locked="0"/>
    </xf>
    <xf numFmtId="0" fontId="0" fillId="0" borderId="0" xfId="0" applyFont="1" applyFill="1" applyAlignment="1" applyProtection="1">
      <alignment horizontal="right"/>
      <protection/>
    </xf>
    <xf numFmtId="171" fontId="0" fillId="0" borderId="0" xfId="0" applyNumberFormat="1" applyFont="1" applyFill="1" applyAlignment="1" applyProtection="1">
      <alignment/>
      <protection/>
    </xf>
    <xf numFmtId="172" fontId="17" fillId="0" borderId="0" xfId="0" applyNumberFormat="1" applyFont="1" applyFill="1" applyAlignment="1" applyProtection="1">
      <alignment/>
      <protection/>
    </xf>
    <xf numFmtId="171" fontId="4" fillId="0" borderId="0" xfId="46" applyNumberFormat="1" applyFont="1" applyFill="1">
      <alignment/>
      <protection/>
    </xf>
    <xf numFmtId="172" fontId="0" fillId="0" borderId="14" xfId="0" applyNumberFormat="1" applyFont="1" applyFill="1" applyBorder="1" applyAlignment="1" applyProtection="1">
      <alignment/>
      <protection/>
    </xf>
    <xf numFmtId="173" fontId="0" fillId="0" borderId="0" xfId="52" applyNumberFormat="1">
      <alignment/>
      <protection/>
    </xf>
    <xf numFmtId="175" fontId="0" fillId="0" borderId="0" xfId="48" applyNumberFormat="1" applyFont="1">
      <alignment/>
      <protection/>
    </xf>
    <xf numFmtId="38" fontId="0" fillId="0" borderId="0" xfId="48" applyNumberFormat="1" applyFont="1">
      <alignment/>
      <protection/>
    </xf>
    <xf numFmtId="0" fontId="2" fillId="0" borderId="0" xfId="48" applyNumberFormat="1" applyFont="1">
      <alignment/>
      <protection/>
    </xf>
    <xf numFmtId="167" fontId="4" fillId="0" borderId="0" xfId="48" applyNumberFormat="1" applyFont="1">
      <alignment/>
      <protection/>
    </xf>
    <xf numFmtId="165" fontId="4" fillId="0" borderId="0" xfId="44" applyFont="1" applyBorder="1">
      <alignment/>
      <protection/>
    </xf>
    <xf numFmtId="174" fontId="0" fillId="0" borderId="0" xfId="0" applyNumberFormat="1" applyFont="1" applyBorder="1" applyAlignment="1" applyProtection="1">
      <alignment/>
      <protection/>
    </xf>
    <xf numFmtId="168" fontId="0"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40" fontId="6" fillId="0" borderId="0" xfId="53" applyNumberFormat="1" applyProtection="1">
      <alignment/>
      <protection locked="0"/>
    </xf>
    <xf numFmtId="3" fontId="0" fillId="0" borderId="0" xfId="0" applyNumberFormat="1" applyAlignment="1" applyProtection="1">
      <alignment horizontal="right"/>
      <protection/>
    </xf>
    <xf numFmtId="3" fontId="2" fillId="0" borderId="0" xfId="0" applyNumberFormat="1" applyFont="1" applyAlignment="1" applyProtection="1">
      <alignment horizontal="right"/>
      <protection/>
    </xf>
    <xf numFmtId="175" fontId="0" fillId="0" borderId="0" xfId="0" applyNumberFormat="1" applyFont="1" applyBorder="1" applyAlignment="1" applyProtection="1">
      <alignment/>
      <protection/>
    </xf>
    <xf numFmtId="171" fontId="0" fillId="0" borderId="0" xfId="48" applyNumberFormat="1" applyFont="1">
      <alignment/>
      <protection/>
    </xf>
    <xf numFmtId="175" fontId="0" fillId="0" borderId="0" xfId="0" applyNumberFormat="1" applyFont="1" applyAlignment="1" applyProtection="1">
      <alignment/>
      <protection/>
    </xf>
    <xf numFmtId="168" fontId="2" fillId="0" borderId="0" xfId="52" applyNumberFormat="1" applyFont="1">
      <alignment/>
      <protection/>
    </xf>
    <xf numFmtId="170" fontId="7" fillId="0" borderId="0" xfId="0" applyNumberFormat="1" applyFont="1" applyAlignment="1">
      <alignment/>
    </xf>
    <xf numFmtId="38" fontId="6" fillId="0" borderId="0" xfId="49" applyFont="1" applyProtection="1">
      <alignment/>
      <protection locked="0"/>
    </xf>
    <xf numFmtId="3" fontId="6" fillId="0" borderId="0" xfId="0" applyNumberFormat="1" applyFont="1" applyAlignment="1" applyProtection="1">
      <alignment horizontal="left"/>
      <protection/>
    </xf>
    <xf numFmtId="165" fontId="0" fillId="0" borderId="0" xfId="44" applyFont="1" applyBorder="1">
      <alignment/>
      <protection/>
    </xf>
    <xf numFmtId="179" fontId="0" fillId="0" borderId="0" xfId="0" applyNumberFormat="1" applyFont="1" applyAlignment="1">
      <alignment/>
    </xf>
    <xf numFmtId="174" fontId="0" fillId="0" borderId="0" xfId="44" applyNumberFormat="1" applyFont="1">
      <alignment/>
      <protection/>
    </xf>
    <xf numFmtId="168" fontId="0" fillId="0" borderId="0" xfId="46" applyNumberFormat="1" applyFont="1">
      <alignment/>
      <protection/>
    </xf>
    <xf numFmtId="174" fontId="0" fillId="0" borderId="0" xfId="46" applyNumberFormat="1" applyFont="1">
      <alignment/>
      <protection/>
    </xf>
    <xf numFmtId="173" fontId="2" fillId="0" borderId="0" xfId="52" applyNumberFormat="1" applyFont="1">
      <alignment/>
      <protection/>
    </xf>
    <xf numFmtId="170" fontId="0" fillId="0" borderId="0" xfId="46" applyNumberFormat="1" applyFont="1">
      <alignment/>
      <protection/>
    </xf>
    <xf numFmtId="170" fontId="2" fillId="0" borderId="0" xfId="46" applyNumberFormat="1" applyFont="1">
      <alignment/>
      <protection/>
    </xf>
    <xf numFmtId="174" fontId="4" fillId="0" borderId="0" xfId="0" applyNumberFormat="1" applyFont="1" applyAlignment="1" applyProtection="1">
      <alignment horizontal="left"/>
      <protection/>
    </xf>
    <xf numFmtId="174" fontId="6" fillId="0" borderId="0" xfId="45" applyNumberFormat="1" applyFont="1" applyFill="1" applyProtection="1">
      <alignment/>
      <protection locked="0"/>
    </xf>
    <xf numFmtId="174" fontId="5" fillId="0" borderId="0" xfId="45" applyNumberFormat="1" applyFont="1" applyFill="1" applyProtection="1">
      <alignment/>
      <protection locked="0"/>
    </xf>
    <xf numFmtId="168" fontId="6" fillId="0" borderId="0" xfId="47" applyNumberFormat="1" applyFill="1" applyProtection="1">
      <alignment/>
      <protection locked="0"/>
    </xf>
    <xf numFmtId="40" fontId="6" fillId="0" borderId="0" xfId="53" applyNumberFormat="1" applyFill="1" applyProtection="1">
      <alignment/>
      <protection locked="0"/>
    </xf>
    <xf numFmtId="174" fontId="13" fillId="0" borderId="0" xfId="45" applyNumberFormat="1" applyFont="1" applyFill="1" applyProtection="1">
      <alignment/>
      <protection locked="0"/>
    </xf>
    <xf numFmtId="38" fontId="6" fillId="0" borderId="0" xfId="49" applyFont="1" applyFill="1" applyProtection="1">
      <alignment/>
      <protection locked="0"/>
    </xf>
    <xf numFmtId="38" fontId="13" fillId="0" borderId="0" xfId="49" applyFont="1" applyFill="1" applyProtection="1">
      <alignment/>
      <protection locked="0"/>
    </xf>
    <xf numFmtId="38" fontId="6" fillId="0" borderId="0" xfId="49" applyFill="1" applyProtection="1">
      <alignment/>
      <protection locked="0"/>
    </xf>
    <xf numFmtId="174" fontId="6" fillId="0" borderId="0" xfId="45" applyNumberFormat="1" applyFill="1" applyProtection="1">
      <alignment/>
      <protection locked="0"/>
    </xf>
    <xf numFmtId="4" fontId="6" fillId="0" borderId="0" xfId="47" applyNumberFormat="1" applyFill="1" applyProtection="1">
      <alignment/>
      <protection locked="0"/>
    </xf>
    <xf numFmtId="3" fontId="6" fillId="0" borderId="0" xfId="47" applyNumberFormat="1" applyFill="1" applyProtection="1">
      <alignment/>
      <protection locked="0"/>
    </xf>
    <xf numFmtId="174" fontId="6" fillId="0" borderId="0" xfId="47" applyNumberFormat="1" applyFill="1" applyProtection="1">
      <alignment/>
      <protection locked="0"/>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6" fillId="0" borderId="0" xfId="47" applyNumberFormat="1" applyProtection="1">
      <alignment/>
      <protection locked="0"/>
    </xf>
    <xf numFmtId="3" fontId="0" fillId="0" borderId="0" xfId="0" applyNumberFormat="1" applyFont="1" applyFill="1" applyAlignment="1" applyProtection="1">
      <alignment/>
      <protection/>
    </xf>
    <xf numFmtId="3" fontId="5" fillId="0" borderId="0" xfId="0" applyNumberFormat="1" applyFont="1" applyFill="1" applyAlignment="1" applyProtection="1">
      <alignment/>
      <protection/>
    </xf>
    <xf numFmtId="171" fontId="4"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center"/>
      <protection/>
    </xf>
    <xf numFmtId="10" fontId="4" fillId="0" borderId="0" xfId="0" applyNumberFormat="1" applyFont="1" applyAlignment="1" applyProtection="1">
      <alignment horizontal="right"/>
      <protection/>
    </xf>
    <xf numFmtId="3" fontId="5"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right"/>
      <protection/>
    </xf>
    <xf numFmtId="174" fontId="4" fillId="0" borderId="0" xfId="0" applyNumberFormat="1" applyFont="1" applyAlignment="1" applyProtection="1">
      <alignment horizontal="right"/>
      <protection/>
    </xf>
    <xf numFmtId="171" fontId="5" fillId="0" borderId="0" xfId="0" applyNumberFormat="1" applyFont="1" applyBorder="1" applyAlignment="1">
      <alignment/>
    </xf>
    <xf numFmtId="171" fontId="5" fillId="0" borderId="0" xfId="0" applyNumberFormat="1" applyFont="1" applyBorder="1" applyAlignment="1">
      <alignment horizontal="right"/>
    </xf>
    <xf numFmtId="3" fontId="4" fillId="0" borderId="0" xfId="0" applyNumberFormat="1" applyFont="1" applyFill="1" applyBorder="1" applyAlignment="1" applyProtection="1">
      <alignment horizontal="right"/>
      <protection/>
    </xf>
    <xf numFmtId="38" fontId="2" fillId="0" borderId="0" xfId="48" applyNumberFormat="1" applyFont="1">
      <alignment/>
      <protection/>
    </xf>
    <xf numFmtId="10" fontId="0" fillId="0" borderId="0" xfId="48" applyNumberFormat="1" applyFont="1">
      <alignment/>
      <protection/>
    </xf>
    <xf numFmtId="10" fontId="4" fillId="0" borderId="0" xfId="0" applyNumberFormat="1" applyFont="1" applyAlignment="1">
      <alignment/>
    </xf>
    <xf numFmtId="10" fontId="2" fillId="0" borderId="0" xfId="48" applyNumberFormat="1" applyFont="1">
      <alignment/>
      <protection/>
    </xf>
    <xf numFmtId="174" fontId="0" fillId="0" borderId="0" xfId="48" applyNumberFormat="1" applyFont="1">
      <alignment/>
      <protection/>
    </xf>
    <xf numFmtId="174" fontId="4" fillId="0" borderId="0" xfId="0" applyNumberFormat="1" applyFont="1" applyAlignment="1">
      <alignment/>
    </xf>
    <xf numFmtId="174" fontId="4" fillId="0" borderId="0" xfId="48" applyNumberFormat="1" applyFont="1" applyBorder="1">
      <alignment/>
      <protection/>
    </xf>
    <xf numFmtId="3" fontId="5" fillId="0" borderId="0" xfId="0" applyNumberFormat="1" applyFont="1" applyFill="1" applyAlignment="1" applyProtection="1">
      <alignment horizontal="right"/>
      <protection/>
    </xf>
    <xf numFmtId="171" fontId="5" fillId="0" borderId="0" xfId="0" applyNumberFormat="1" applyFont="1" applyFill="1" applyAlignment="1" applyProtection="1">
      <alignment horizontal="right"/>
      <protection/>
    </xf>
    <xf numFmtId="175" fontId="0" fillId="0" borderId="0" xfId="0" applyNumberFormat="1" applyFont="1" applyFill="1" applyBorder="1" applyAlignment="1" applyProtection="1">
      <alignment/>
      <protection/>
    </xf>
    <xf numFmtId="169" fontId="7" fillId="0" borderId="0" xfId="0" applyNumberFormat="1" applyFont="1" applyAlignment="1">
      <alignment/>
    </xf>
    <xf numFmtId="175" fontId="4" fillId="0" borderId="0" xfId="48" applyNumberFormat="1" applyFont="1">
      <alignment/>
      <protection/>
    </xf>
    <xf numFmtId="174" fontId="2" fillId="0" borderId="0" xfId="0" applyNumberFormat="1" applyFont="1" applyAlignment="1" applyProtection="1">
      <alignment/>
      <protection/>
    </xf>
    <xf numFmtId="173" fontId="4" fillId="0" borderId="0" xfId="48" applyNumberFormat="1" applyFont="1">
      <alignment/>
      <protection/>
    </xf>
    <xf numFmtId="173" fontId="0" fillId="0" borderId="0" xfId="0" applyNumberFormat="1" applyFont="1" applyAlignment="1">
      <alignment/>
    </xf>
    <xf numFmtId="173" fontId="0" fillId="0" borderId="0" xfId="0" applyNumberFormat="1" applyFont="1" applyAlignment="1" applyProtection="1">
      <alignment/>
      <protection/>
    </xf>
    <xf numFmtId="176" fontId="0" fillId="0" borderId="0" xfId="44" applyNumberFormat="1" applyFont="1" applyBorder="1" applyAlignment="1">
      <alignment horizontal="right"/>
      <protection/>
    </xf>
    <xf numFmtId="172" fontId="0" fillId="0" borderId="0" xfId="48" applyNumberFormat="1" applyFont="1">
      <alignment/>
      <protection/>
    </xf>
    <xf numFmtId="174" fontId="0" fillId="0" borderId="13" xfId="0" applyNumberFormat="1" applyFont="1" applyBorder="1" applyAlignment="1" applyProtection="1">
      <alignment/>
      <protection/>
    </xf>
    <xf numFmtId="3" fontId="3" fillId="0" borderId="0" xfId="0" applyNumberFormat="1" applyFont="1" applyAlignment="1" applyProtection="1">
      <alignment horizontal="center"/>
      <protection/>
    </xf>
    <xf numFmtId="164" fontId="4" fillId="0" borderId="0" xfId="46" applyNumberFormat="1" applyFont="1">
      <alignment/>
      <protection/>
    </xf>
    <xf numFmtId="179" fontId="4" fillId="0" borderId="0" xfId="46" applyNumberFormat="1" applyFont="1" applyFill="1">
      <alignment/>
      <protection/>
    </xf>
    <xf numFmtId="172" fontId="27" fillId="0" borderId="0" xfId="65" applyFont="1" applyAlignment="1">
      <alignment horizontal="center" vertical="top" wrapText="1"/>
      <protection/>
    </xf>
    <xf numFmtId="172" fontId="28" fillId="0" borderId="0" xfId="65" applyFont="1" applyAlignment="1">
      <alignment horizontal="center" vertical="top" wrapText="1"/>
      <protection/>
    </xf>
    <xf numFmtId="1" fontId="27" fillId="0" borderId="0" xfId="65" applyNumberFormat="1" applyFont="1" applyAlignment="1">
      <alignment horizontal="center" vertical="top" wrapText="1"/>
      <protection/>
    </xf>
    <xf numFmtId="172" fontId="22" fillId="0" borderId="0" xfId="65" applyFont="1" applyAlignment="1">
      <alignment vertical="top" wrapText="1"/>
      <protection/>
    </xf>
    <xf numFmtId="3" fontId="21" fillId="0" borderId="0" xfId="0" applyNumberFormat="1" applyFont="1" applyAlignment="1">
      <alignment vertical="top" wrapText="1"/>
    </xf>
    <xf numFmtId="172" fontId="21" fillId="0" borderId="0" xfId="65" applyFont="1" applyAlignment="1">
      <alignment vertical="top" wrapText="1"/>
      <protection/>
    </xf>
    <xf numFmtId="172" fontId="21" fillId="0" borderId="0" xfId="65" applyFont="1" applyAlignment="1">
      <alignment horizontal="left" vertical="top" wrapText="1"/>
      <protection/>
    </xf>
    <xf numFmtId="3" fontId="14" fillId="0" borderId="14" xfId="0" applyNumberFormat="1" applyFont="1" applyBorder="1" applyAlignment="1" applyProtection="1">
      <alignment horizontal="center"/>
      <protection/>
    </xf>
    <xf numFmtId="3" fontId="14" fillId="0" borderId="14" xfId="0" applyNumberFormat="1" applyFont="1" applyBorder="1" applyAlignment="1" applyProtection="1">
      <alignment/>
      <protection/>
    </xf>
    <xf numFmtId="3" fontId="3" fillId="0" borderId="0" xfId="0" applyNumberFormat="1" applyFont="1" applyAlignment="1" applyProtection="1">
      <alignment horizontal="center"/>
      <protection/>
    </xf>
    <xf numFmtId="3" fontId="7" fillId="0" borderId="0" xfId="0" applyNumberFormat="1" applyFont="1" applyAlignment="1" applyProtection="1">
      <alignment/>
      <protection/>
    </xf>
    <xf numFmtId="3" fontId="17" fillId="0" borderId="0" xfId="0" applyNumberFormat="1" applyFont="1" applyAlignment="1">
      <alignment vertical="top" wrapText="1"/>
    </xf>
    <xf numFmtId="3" fontId="0" fillId="0" borderId="0" xfId="0" applyNumberFormat="1" applyAlignment="1">
      <alignment vertical="top" wrapText="1"/>
    </xf>
    <xf numFmtId="171" fontId="5" fillId="0" borderId="0" xfId="0" applyNumberFormat="1" applyFont="1" applyBorder="1" applyAlignment="1">
      <alignment horizontal="center"/>
    </xf>
    <xf numFmtId="166" fontId="3" fillId="0" borderId="0" xfId="0" applyNumberFormat="1" applyFont="1" applyAlignment="1" applyProtection="1">
      <alignment horizontal="center"/>
      <protection/>
    </xf>
    <xf numFmtId="3" fontId="5"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166" fontId="5"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0" fillId="0" borderId="0" xfId="0" applyNumberFormat="1" applyAlignment="1">
      <alignment/>
    </xf>
    <xf numFmtId="3" fontId="5" fillId="0" borderId="0" xfId="0" applyNumberFormat="1" applyFont="1" applyAlignment="1" applyProtection="1">
      <alignment/>
      <protection/>
    </xf>
    <xf numFmtId="3" fontId="4" fillId="0" borderId="0" xfId="0" applyNumberFormat="1" applyFont="1" applyAlignment="1" applyProtection="1">
      <alignment/>
      <protection/>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3" fontId="5" fillId="0" borderId="0" xfId="0" applyNumberFormat="1" applyFont="1" applyAlignment="1" applyProtection="1">
      <alignment horizontal="left"/>
      <protection/>
    </xf>
    <xf numFmtId="3" fontId="4" fillId="0" borderId="0" xfId="0" applyNumberFormat="1" applyFont="1" applyAlignment="1" applyProtection="1">
      <alignment horizont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_Farrow-Wean 500" xfId="65"/>
    <cellStyle name="Note" xfId="66"/>
    <cellStyle name="Num (1,234) L Black" xfId="67"/>
    <cellStyle name="Num (1,234) U Blue" xfId="68"/>
    <cellStyle name="Num (1,234.0) L Black" xfId="69"/>
    <cellStyle name="Num (1,234.0) U Blue" xfId="70"/>
    <cellStyle name="Num (1,234.10) L Black" xfId="71"/>
    <cellStyle name="Num (1,234.10) U Blue" xfId="72"/>
    <cellStyle name="Output" xfId="73"/>
    <cellStyle name="Percent" xfId="74"/>
    <cellStyle name="Percent 00.00% L Black" xfId="75"/>
    <cellStyle name="Percent 00.00% U Blue" xfId="76"/>
    <cellStyle name="Standard_Anpassen der Amortisation" xfId="77"/>
    <cellStyle name="Title" xfId="78"/>
    <cellStyle name="Total" xfId="79"/>
    <cellStyle name="Währung [0]_Compiling Utility Macros" xfId="80"/>
    <cellStyle name="Währung_Compiling Utility Macros"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B1:I33"/>
  <sheetViews>
    <sheetView showGridLines="0" tabSelected="1" zoomScalePageLayoutView="0" workbookViewId="0" topLeftCell="A1">
      <selection activeCell="A1" sqref="A1"/>
    </sheetView>
  </sheetViews>
  <sheetFormatPr defaultColWidth="8.88671875" defaultRowHeight="15"/>
  <cols>
    <col min="1" max="1" width="6.88671875" style="1" customWidth="1"/>
    <col min="2" max="2" width="9.3359375" style="1" customWidth="1"/>
    <col min="3" max="16384" width="8.88671875" style="1" customWidth="1"/>
  </cols>
  <sheetData>
    <row r="1" spans="2:9" ht="20.25">
      <c r="B1" s="195" t="s">
        <v>54</v>
      </c>
      <c r="C1" s="195"/>
      <c r="D1" s="195"/>
      <c r="E1" s="195"/>
      <c r="F1" s="195"/>
      <c r="G1" s="195"/>
      <c r="H1" s="195"/>
      <c r="I1" s="195"/>
    </row>
    <row r="2" spans="2:9" ht="26.25">
      <c r="B2" s="196" t="s">
        <v>111</v>
      </c>
      <c r="C2" s="196"/>
      <c r="D2" s="196"/>
      <c r="E2" s="196"/>
      <c r="F2" s="196"/>
      <c r="G2" s="196"/>
      <c r="H2" s="196"/>
      <c r="I2" s="196"/>
    </row>
    <row r="3" spans="2:9" ht="20.25">
      <c r="B3" s="197" t="str">
        <f>"Based on "&amp;Input!E15&amp;" kW wind turbine"</f>
        <v>Based on 3.5 kW wind turbine</v>
      </c>
      <c r="C3" s="197"/>
      <c r="D3" s="197"/>
      <c r="E3" s="197"/>
      <c r="F3" s="197"/>
      <c r="G3" s="197"/>
      <c r="H3" s="197"/>
      <c r="I3" s="197"/>
    </row>
    <row r="4" ht="21.75" customHeight="1"/>
    <row r="5" ht="20.25" customHeight="1"/>
    <row r="6" spans="7:9" ht="21" customHeight="1">
      <c r="G6" s="65" t="s">
        <v>53</v>
      </c>
      <c r="I6" s="66" t="s">
        <v>213</v>
      </c>
    </row>
    <row r="10" spans="5:7" ht="15">
      <c r="E10" s="64"/>
      <c r="G10" s="54"/>
    </row>
    <row r="11" spans="2:9" ht="15">
      <c r="B11" s="63"/>
      <c r="C11" s="64"/>
      <c r="D11" s="64"/>
      <c r="E11" s="64"/>
      <c r="F11" s="64"/>
      <c r="G11" s="64"/>
      <c r="H11" s="64"/>
      <c r="I11" s="64"/>
    </row>
    <row r="12" spans="2:9" ht="15">
      <c r="B12" s="64"/>
      <c r="C12" s="64"/>
      <c r="D12" s="64"/>
      <c r="E12" s="64"/>
      <c r="F12" s="64"/>
      <c r="G12" s="64"/>
      <c r="H12" s="64"/>
      <c r="I12" s="64"/>
    </row>
    <row r="13" spans="2:9" ht="15">
      <c r="B13" s="64"/>
      <c r="C13" s="64"/>
      <c r="D13" s="64"/>
      <c r="E13" s="64"/>
      <c r="F13" s="64"/>
      <c r="G13" s="64"/>
      <c r="H13" s="64"/>
      <c r="I13" s="64"/>
    </row>
    <row r="14" ht="15">
      <c r="B14" s="2"/>
    </row>
    <row r="15" spans="2:9" ht="15" customHeight="1">
      <c r="B15" s="201" t="s">
        <v>102</v>
      </c>
      <c r="C15" s="201"/>
      <c r="D15" s="201"/>
      <c r="E15" s="201"/>
      <c r="F15" s="201"/>
      <c r="G15" s="201"/>
      <c r="H15" s="201"/>
      <c r="I15" s="201"/>
    </row>
    <row r="16" spans="2:9" ht="15">
      <c r="B16" s="201"/>
      <c r="C16" s="201"/>
      <c r="D16" s="201"/>
      <c r="E16" s="201"/>
      <c r="F16" s="201"/>
      <c r="G16" s="201"/>
      <c r="H16" s="201"/>
      <c r="I16" s="201"/>
    </row>
    <row r="17" spans="2:9" ht="18.75" customHeight="1">
      <c r="B17" s="201"/>
      <c r="C17" s="201"/>
      <c r="D17" s="201"/>
      <c r="E17" s="201"/>
      <c r="F17" s="201"/>
      <c r="G17" s="201"/>
      <c r="H17" s="201"/>
      <c r="I17" s="201"/>
    </row>
    <row r="18" spans="2:9" ht="18.75" customHeight="1">
      <c r="B18" s="201"/>
      <c r="C18" s="201"/>
      <c r="D18" s="201"/>
      <c r="E18" s="201"/>
      <c r="F18" s="201"/>
      <c r="G18" s="201"/>
      <c r="H18" s="201"/>
      <c r="I18" s="201"/>
    </row>
    <row r="19" spans="2:9" ht="18.75" customHeight="1">
      <c r="B19" s="201"/>
      <c r="C19" s="201"/>
      <c r="D19" s="201"/>
      <c r="E19" s="201"/>
      <c r="F19" s="201"/>
      <c r="G19" s="201"/>
      <c r="H19" s="201"/>
      <c r="I19" s="201"/>
    </row>
    <row r="20" spans="2:9" ht="15">
      <c r="B20" s="55"/>
      <c r="C20" s="55"/>
      <c r="D20" s="55"/>
      <c r="E20" s="55"/>
      <c r="F20" s="55"/>
      <c r="G20" s="55"/>
      <c r="H20" s="55"/>
      <c r="I20" s="55"/>
    </row>
    <row r="21" spans="2:9" ht="15">
      <c r="B21" s="200" t="s">
        <v>103</v>
      </c>
      <c r="C21" s="200"/>
      <c r="D21" s="200"/>
      <c r="E21" s="200"/>
      <c r="F21" s="200"/>
      <c r="G21" s="200"/>
      <c r="H21" s="200"/>
      <c r="I21" s="199"/>
    </row>
    <row r="22" spans="2:9" ht="15">
      <c r="B22" s="200"/>
      <c r="C22" s="200"/>
      <c r="D22" s="200"/>
      <c r="E22" s="200"/>
      <c r="F22" s="200"/>
      <c r="G22" s="200"/>
      <c r="H22" s="200"/>
      <c r="I22" s="199"/>
    </row>
    <row r="23" spans="2:9" ht="15">
      <c r="B23" s="200"/>
      <c r="C23" s="200"/>
      <c r="D23" s="200"/>
      <c r="E23" s="200"/>
      <c r="F23" s="200"/>
      <c r="G23" s="200"/>
      <c r="H23" s="200"/>
      <c r="I23" s="199"/>
    </row>
    <row r="24" spans="2:9" ht="15" customHeight="1">
      <c r="B24" s="200"/>
      <c r="C24" s="200"/>
      <c r="D24" s="200"/>
      <c r="E24" s="200"/>
      <c r="F24" s="200"/>
      <c r="G24" s="200"/>
      <c r="H24" s="200"/>
      <c r="I24" s="199"/>
    </row>
    <row r="25" spans="2:9" ht="15" customHeight="1">
      <c r="B25" s="200"/>
      <c r="C25" s="200"/>
      <c r="D25" s="200"/>
      <c r="E25" s="200"/>
      <c r="F25" s="200"/>
      <c r="G25" s="200"/>
      <c r="H25" s="200"/>
      <c r="I25" s="199"/>
    </row>
    <row r="26" spans="2:9" ht="15" customHeight="1">
      <c r="B26" s="55"/>
      <c r="C26" s="55"/>
      <c r="D26" s="55"/>
      <c r="E26" s="55"/>
      <c r="F26" s="55"/>
      <c r="G26" s="55"/>
      <c r="H26" s="55"/>
      <c r="I26" s="55"/>
    </row>
    <row r="27" spans="2:9" ht="15">
      <c r="B27" s="198" t="s">
        <v>104</v>
      </c>
      <c r="C27" s="199"/>
      <c r="D27" s="199"/>
      <c r="E27" s="199"/>
      <c r="F27" s="199"/>
      <c r="G27" s="199"/>
      <c r="H27" s="199"/>
      <c r="I27" s="199"/>
    </row>
    <row r="28" spans="2:9" ht="15">
      <c r="B28" s="199"/>
      <c r="C28" s="199"/>
      <c r="D28" s="199"/>
      <c r="E28" s="199"/>
      <c r="F28" s="199"/>
      <c r="G28" s="199"/>
      <c r="H28" s="199"/>
      <c r="I28" s="199"/>
    </row>
    <row r="29" spans="2:9" ht="15">
      <c r="B29" s="199"/>
      <c r="C29" s="199"/>
      <c r="D29" s="199"/>
      <c r="E29" s="199"/>
      <c r="F29" s="199"/>
      <c r="G29" s="199"/>
      <c r="H29" s="199"/>
      <c r="I29" s="199"/>
    </row>
    <row r="30" spans="2:9" ht="15">
      <c r="B30" s="199"/>
      <c r="C30" s="199"/>
      <c r="D30" s="199"/>
      <c r="E30" s="199"/>
      <c r="F30" s="199"/>
      <c r="G30" s="199"/>
      <c r="H30" s="199"/>
      <c r="I30" s="199"/>
    </row>
    <row r="31" spans="2:9" ht="15">
      <c r="B31" s="199"/>
      <c r="C31" s="199"/>
      <c r="D31" s="199"/>
      <c r="E31" s="199"/>
      <c r="F31" s="199"/>
      <c r="G31" s="199"/>
      <c r="H31" s="199"/>
      <c r="I31" s="199"/>
    </row>
    <row r="32" spans="2:9" ht="15">
      <c r="B32" s="199"/>
      <c r="C32" s="199"/>
      <c r="D32" s="199"/>
      <c r="E32" s="199"/>
      <c r="F32" s="199"/>
      <c r="G32" s="199"/>
      <c r="H32" s="199"/>
      <c r="I32" s="199"/>
    </row>
    <row r="33" spans="2:9" ht="15">
      <c r="B33" s="199"/>
      <c r="C33" s="199"/>
      <c r="D33" s="199"/>
      <c r="E33" s="199"/>
      <c r="F33" s="199"/>
      <c r="G33" s="199"/>
      <c r="H33" s="199"/>
      <c r="I33" s="199"/>
    </row>
  </sheetData>
  <sheetProtection password="C6A6" sheet="1" objects="1" scenarios="1"/>
  <mergeCells count="6">
    <mergeCell ref="B1:I1"/>
    <mergeCell ref="B2:I2"/>
    <mergeCell ref="B3:I3"/>
    <mergeCell ref="B27:I33"/>
    <mergeCell ref="B21:I25"/>
    <mergeCell ref="B15:I19"/>
  </mergeCells>
  <printOptions/>
  <pageMargins left="0.7480314960629921" right="0.7480314960629921" top="0.8661417322834646" bottom="0.984251968503937" header="0.5118110236220472" footer="0.5118110236220472"/>
  <pageSetup horizontalDpi="600" verticalDpi="600" orientation="portrait" scale="95"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K69"/>
  <sheetViews>
    <sheetView showGridLines="0" zoomScalePageLayoutView="0" workbookViewId="0" topLeftCell="A22">
      <selection activeCell="G27" sqref="G27"/>
    </sheetView>
  </sheetViews>
  <sheetFormatPr defaultColWidth="8.88671875" defaultRowHeight="15" customHeight="1"/>
  <cols>
    <col min="1" max="1" width="0.9921875" style="15" customWidth="1"/>
    <col min="2" max="2" width="12.21484375" style="15" customWidth="1"/>
    <col min="3" max="3" width="8.88671875" style="15" customWidth="1"/>
    <col min="4" max="4" width="10.21484375" style="15" customWidth="1"/>
    <col min="5" max="5" width="7.77734375" style="15" customWidth="1"/>
    <col min="6" max="6" width="10.99609375" style="87" customWidth="1"/>
    <col min="7" max="7" width="7.3359375" style="15" customWidth="1"/>
    <col min="8" max="8" width="11.10546875" style="15" customWidth="1"/>
    <col min="9" max="9" width="7.3359375" style="15" customWidth="1"/>
    <col min="10" max="10" width="1.5625" style="15" customWidth="1"/>
    <col min="11" max="11" width="9.5546875" style="15" customWidth="1"/>
    <col min="12" max="12" width="7.21484375" style="15" customWidth="1"/>
    <col min="13" max="16384" width="8.88671875" style="15" customWidth="1"/>
  </cols>
  <sheetData>
    <row r="2" spans="2:11" ht="17.25" customHeight="1">
      <c r="B2" s="204" t="str">
        <f>"On-Farm "&amp;Input!E15&amp;" kW Wind Turbine Production Costs                      "&amp;Introduction!I6&amp;""</f>
        <v>On-Farm 3.5 kW Wind Turbine Production Costs                      November, 2012</v>
      </c>
      <c r="C2" s="205"/>
      <c r="D2" s="205"/>
      <c r="E2" s="205"/>
      <c r="F2" s="205"/>
      <c r="G2" s="205"/>
      <c r="H2" s="205"/>
      <c r="I2" s="205"/>
      <c r="J2" s="205"/>
      <c r="K2" s="205"/>
    </row>
    <row r="3" spans="2:11" ht="7.5" customHeight="1">
      <c r="B3" s="192"/>
      <c r="C3" s="14"/>
      <c r="D3" s="14"/>
      <c r="E3" s="14"/>
      <c r="F3" s="14"/>
      <c r="G3" s="14"/>
      <c r="H3" s="14"/>
      <c r="I3" s="14"/>
      <c r="J3" s="14"/>
      <c r="K3" s="14"/>
    </row>
    <row r="4" spans="2:11" ht="15" customHeight="1">
      <c r="B4" s="202" t="str">
        <f>"Based on a $"&amp;Input!D57&amp;" total capital cost &amp; $"&amp;Input!E21&amp;" kwHr Manitoba Hydro rate"</f>
        <v>Based on a $30000 total capital cost &amp; $0.0694 kwHr Manitoba Hydro rate</v>
      </c>
      <c r="C4" s="203"/>
      <c r="D4" s="203"/>
      <c r="E4" s="203"/>
      <c r="F4" s="203"/>
      <c r="G4" s="203"/>
      <c r="H4" s="203"/>
      <c r="I4" s="203"/>
      <c r="J4" s="203"/>
      <c r="K4" s="203"/>
    </row>
    <row r="5" spans="2:11" ht="7.5" customHeight="1">
      <c r="B5" s="17"/>
      <c r="C5" s="17"/>
      <c r="D5" s="17"/>
      <c r="E5" s="17"/>
      <c r="F5" s="76"/>
      <c r="G5" s="17"/>
      <c r="H5" s="17"/>
      <c r="I5" s="17"/>
      <c r="J5" s="17"/>
      <c r="K5" s="17"/>
    </row>
    <row r="6" spans="2:11" ht="15" customHeight="1">
      <c r="B6" s="4" t="s">
        <v>180</v>
      </c>
      <c r="C6" s="17"/>
      <c r="D6" s="17"/>
      <c r="E6" s="17"/>
      <c r="F6" s="171" t="s">
        <v>175</v>
      </c>
      <c r="G6" s="170"/>
      <c r="H6" s="168" t="s">
        <v>174</v>
      </c>
      <c r="I6" s="167"/>
      <c r="J6" s="17"/>
      <c r="K6" s="17"/>
    </row>
    <row r="7" spans="2:11" ht="15" customHeight="1">
      <c r="B7" s="4" t="s">
        <v>146</v>
      </c>
      <c r="C7" s="17"/>
      <c r="D7" s="17"/>
      <c r="E7" s="17"/>
      <c r="F7" s="93">
        <f>Details!F23</f>
        <v>4272.7776</v>
      </c>
      <c r="G7" s="30" t="s">
        <v>123</v>
      </c>
      <c r="H7" s="8">
        <f>Details!F30</f>
        <v>10681.944000000001</v>
      </c>
      <c r="I7" s="30" t="s">
        <v>123</v>
      </c>
      <c r="J7" s="17"/>
      <c r="K7" s="17"/>
    </row>
    <row r="8" spans="2:11" ht="15" customHeight="1">
      <c r="B8" s="4" t="s">
        <v>176</v>
      </c>
      <c r="C8" s="17"/>
      <c r="D8" s="17"/>
      <c r="E8" s="17"/>
      <c r="F8" s="175">
        <f>Details!F19</f>
        <v>0.13936</v>
      </c>
      <c r="G8" s="30"/>
      <c r="H8" s="166">
        <f>Input!E16/100</f>
        <v>0.34840000000000004</v>
      </c>
      <c r="I8" s="17"/>
      <c r="J8" s="17"/>
      <c r="K8" s="17"/>
    </row>
    <row r="9" spans="2:11" ht="15" customHeight="1">
      <c r="B9" s="4" t="s">
        <v>186</v>
      </c>
      <c r="C9" s="17"/>
      <c r="D9" s="17"/>
      <c r="E9" s="17"/>
      <c r="F9" s="169">
        <f>Details!F39</f>
        <v>61506</v>
      </c>
      <c r="G9" s="146"/>
      <c r="H9" s="178">
        <f>Details!F48</f>
        <v>24602</v>
      </c>
      <c r="I9" s="17"/>
      <c r="J9" s="17"/>
      <c r="K9" s="17"/>
    </row>
    <row r="10" spans="2:11" ht="15" customHeight="1">
      <c r="B10" s="4"/>
      <c r="C10" s="17"/>
      <c r="D10" s="17"/>
      <c r="E10" s="17"/>
      <c r="F10" s="8"/>
      <c r="G10" s="146"/>
      <c r="H10" s="169"/>
      <c r="I10" s="17"/>
      <c r="J10" s="17"/>
      <c r="K10" s="17"/>
    </row>
    <row r="11" spans="2:11" ht="15" customHeight="1">
      <c r="B11" s="17"/>
      <c r="C11" s="17"/>
      <c r="D11" s="17"/>
      <c r="E11" s="17"/>
      <c r="F11" s="76"/>
      <c r="G11" s="17"/>
      <c r="H11" s="172"/>
      <c r="I11" s="8" t="s">
        <v>14</v>
      </c>
      <c r="J11" s="17"/>
      <c r="K11" s="17"/>
    </row>
    <row r="12" spans="2:11" ht="15" customHeight="1">
      <c r="B12" s="4" t="s">
        <v>124</v>
      </c>
      <c r="C12" s="18"/>
      <c r="D12" s="18"/>
      <c r="E12" s="18"/>
      <c r="F12" s="77" t="s">
        <v>126</v>
      </c>
      <c r="G12" s="35" t="s">
        <v>0</v>
      </c>
      <c r="H12" s="77" t="s">
        <v>126</v>
      </c>
      <c r="I12" s="47" t="s">
        <v>177</v>
      </c>
      <c r="J12" s="47"/>
      <c r="K12" s="40" t="s">
        <v>19</v>
      </c>
    </row>
    <row r="13" spans="2:11" ht="15" customHeight="1">
      <c r="B13" s="18" t="s">
        <v>133</v>
      </c>
      <c r="C13" s="18"/>
      <c r="D13" s="18"/>
      <c r="E13" s="18"/>
      <c r="F13" s="79">
        <f>SUM(I13/F7)</f>
        <v>0.017552984737609557</v>
      </c>
      <c r="G13" s="18"/>
      <c r="H13" s="79">
        <f>SUM(I13/H7)</f>
        <v>0.007021193895043822</v>
      </c>
      <c r="I13" s="56">
        <f>ROUND(Details!F56,0)</f>
        <v>75</v>
      </c>
      <c r="J13" s="56"/>
      <c r="K13" s="21"/>
    </row>
    <row r="14" spans="2:11" ht="15" customHeight="1">
      <c r="B14" s="18" t="s">
        <v>134</v>
      </c>
      <c r="C14" s="18"/>
      <c r="D14" s="18"/>
      <c r="E14" s="18"/>
      <c r="F14" s="79">
        <f>SUM(I14/F7)</f>
        <v>0</v>
      </c>
      <c r="G14" s="18"/>
      <c r="H14" s="79">
        <f>SUM(I14/H7)</f>
        <v>0</v>
      </c>
      <c r="I14" s="56">
        <f>ROUND(Details!F59,0)</f>
        <v>0</v>
      </c>
      <c r="J14" s="56"/>
      <c r="K14" s="21"/>
    </row>
    <row r="15" spans="2:11" ht="15" customHeight="1">
      <c r="B15" s="18" t="s">
        <v>135</v>
      </c>
      <c r="C15" s="18"/>
      <c r="D15" s="18"/>
      <c r="E15" s="18"/>
      <c r="F15" s="79">
        <f>SUM(I15/F7)</f>
        <v>0.035105969475219115</v>
      </c>
      <c r="G15" s="18"/>
      <c r="H15" s="79">
        <f>SUM(I15/H7)</f>
        <v>0.014042387790087645</v>
      </c>
      <c r="I15" s="56">
        <f>ROUND(Details!F66,0)</f>
        <v>150</v>
      </c>
      <c r="J15" s="56"/>
      <c r="K15" s="21"/>
    </row>
    <row r="16" spans="2:11" ht="15" customHeight="1">
      <c r="B16" s="18" t="s">
        <v>136</v>
      </c>
      <c r="C16" s="18"/>
      <c r="D16" s="18"/>
      <c r="E16" s="18"/>
      <c r="F16" s="82">
        <f>SUM(I16/F7)</f>
        <v>0</v>
      </c>
      <c r="G16" s="18"/>
      <c r="H16" s="82">
        <f>SUM(I16/H7)</f>
        <v>0</v>
      </c>
      <c r="I16" s="68">
        <f>Details!F73</f>
        <v>0</v>
      </c>
      <c r="J16" s="68"/>
      <c r="K16" s="21"/>
    </row>
    <row r="17" spans="2:11" s="69" customFormat="1" ht="15" customHeight="1">
      <c r="B17" s="4" t="s">
        <v>43</v>
      </c>
      <c r="C17" s="4"/>
      <c r="D17" s="4"/>
      <c r="E17" s="4"/>
      <c r="F17" s="90">
        <f>SUM(F13:F16)</f>
        <v>0.05265895421282867</v>
      </c>
      <c r="G17" s="4"/>
      <c r="H17" s="90">
        <f>SUM(H13:H16)</f>
        <v>0.021063581685131467</v>
      </c>
      <c r="I17" s="43">
        <f>SUM(I13:I16)</f>
        <v>225</v>
      </c>
      <c r="J17" s="43"/>
      <c r="K17" s="91"/>
    </row>
    <row r="18" spans="2:11" ht="15" customHeight="1">
      <c r="B18" s="18" t="s">
        <v>137</v>
      </c>
      <c r="C18" s="18"/>
      <c r="D18" s="18"/>
      <c r="E18" s="18"/>
      <c r="F18" s="82">
        <f>SUM(I18/F7)</f>
        <v>0.0014042387790087645</v>
      </c>
      <c r="G18" s="25"/>
      <c r="H18" s="82">
        <f>SUM(I18/H7)</f>
        <v>0.0005616955116035058</v>
      </c>
      <c r="I18" s="57">
        <f>ROUND(Details!F81,0)</f>
        <v>6</v>
      </c>
      <c r="J18" s="57"/>
      <c r="K18" s="21"/>
    </row>
    <row r="19" spans="2:11" ht="15" customHeight="1">
      <c r="B19" s="19" t="s">
        <v>20</v>
      </c>
      <c r="C19" s="19"/>
      <c r="D19" s="114"/>
      <c r="E19" s="115"/>
      <c r="F19" s="90">
        <f>SUM(F17:F18)</f>
        <v>0.054063192991837435</v>
      </c>
      <c r="G19" s="116"/>
      <c r="H19" s="90">
        <f>SUM(H17:H18)</f>
        <v>0.021625277196734974</v>
      </c>
      <c r="I19" s="43">
        <f>SUM(I17:I18)</f>
        <v>231</v>
      </c>
      <c r="J19" s="43"/>
      <c r="K19" s="21"/>
    </row>
    <row r="20" spans="2:11" ht="15" customHeight="1">
      <c r="B20" s="19"/>
      <c r="C20" s="19"/>
      <c r="D20" s="19"/>
      <c r="E20" s="19"/>
      <c r="F20" s="81"/>
      <c r="G20" s="19"/>
      <c r="H20" s="81"/>
      <c r="I20" s="11"/>
      <c r="J20" s="11"/>
      <c r="K20" s="38"/>
    </row>
    <row r="21" spans="2:11" ht="15" customHeight="1">
      <c r="B21" s="19" t="s">
        <v>127</v>
      </c>
      <c r="C21" s="18"/>
      <c r="D21" s="18"/>
      <c r="E21" s="18"/>
      <c r="F21" s="78"/>
      <c r="G21" s="18"/>
      <c r="H21" s="78"/>
      <c r="I21" s="18"/>
      <c r="J21" s="18"/>
      <c r="K21" s="18"/>
    </row>
    <row r="22" spans="2:11" ht="15" customHeight="1">
      <c r="B22" s="4" t="s">
        <v>3</v>
      </c>
      <c r="C22" s="18"/>
      <c r="D22" s="18"/>
      <c r="E22" s="18"/>
      <c r="F22" s="78"/>
      <c r="G22" s="18"/>
      <c r="H22" s="78"/>
      <c r="I22" s="18"/>
      <c r="J22" s="18"/>
      <c r="K22" s="18"/>
    </row>
    <row r="23" spans="2:11" ht="15" customHeight="1">
      <c r="B23" s="18" t="s">
        <v>4</v>
      </c>
      <c r="C23" s="18"/>
      <c r="D23" s="18"/>
      <c r="E23" s="18"/>
      <c r="F23" s="79">
        <f>SUM(I23/F7)</f>
        <v>0.046339879707289235</v>
      </c>
      <c r="G23" s="18"/>
      <c r="H23" s="79">
        <f>SUM(I23/H7)</f>
        <v>0.01853595188291569</v>
      </c>
      <c r="I23" s="58">
        <f>ROUND(Details!F112,0)</f>
        <v>198</v>
      </c>
      <c r="J23" s="58"/>
      <c r="K23" s="21"/>
    </row>
    <row r="24" spans="2:11" ht="15" customHeight="1">
      <c r="B24" s="18" t="s">
        <v>5</v>
      </c>
      <c r="C24" s="18"/>
      <c r="D24" s="18"/>
      <c r="E24" s="18"/>
      <c r="F24" s="79">
        <f>SUM(I24/F7)</f>
        <v>0.22655052301341402</v>
      </c>
      <c r="G24" s="18"/>
      <c r="H24" s="79">
        <f>SUM(I24/H7)</f>
        <v>0.0906202092053656</v>
      </c>
      <c r="I24" s="58">
        <f>ROUND(Details!F118,0)</f>
        <v>968</v>
      </c>
      <c r="J24" s="58"/>
      <c r="K24" s="21"/>
    </row>
    <row r="25" spans="2:11" ht="15" customHeight="1">
      <c r="B25" s="18"/>
      <c r="C25" s="18"/>
      <c r="D25" s="18"/>
      <c r="E25" s="18"/>
      <c r="F25" s="78"/>
      <c r="G25" s="18"/>
      <c r="H25" s="78"/>
      <c r="I25" s="45"/>
      <c r="J25" s="45"/>
      <c r="K25" s="38"/>
    </row>
    <row r="26" spans="2:11" ht="15" customHeight="1">
      <c r="B26" s="4" t="s">
        <v>6</v>
      </c>
      <c r="C26" s="18"/>
      <c r="D26" s="18"/>
      <c r="E26" s="18"/>
      <c r="F26" s="79" t="s">
        <v>0</v>
      </c>
      <c r="G26" s="18"/>
      <c r="H26" s="79" t="s">
        <v>0</v>
      </c>
      <c r="I26" s="45" t="s">
        <v>0</v>
      </c>
      <c r="J26" s="45"/>
      <c r="K26" s="18"/>
    </row>
    <row r="27" spans="2:11" ht="15" customHeight="1">
      <c r="B27" s="18" t="s">
        <v>7</v>
      </c>
      <c r="C27" s="18"/>
      <c r="D27" s="18"/>
      <c r="E27" s="18"/>
      <c r="F27" s="79">
        <f>SUM(I27/F7)</f>
        <v>0.03229749191720158</v>
      </c>
      <c r="G27" s="18"/>
      <c r="H27" s="79">
        <f>SUM(I27/H7)</f>
        <v>0.012918996766880634</v>
      </c>
      <c r="I27" s="58">
        <f>ROUND(Details!F127,0)</f>
        <v>138</v>
      </c>
      <c r="J27" s="58"/>
      <c r="K27" s="21"/>
    </row>
    <row r="28" spans="2:11" ht="15" customHeight="1">
      <c r="B28" s="18" t="s">
        <v>8</v>
      </c>
      <c r="C28" s="18"/>
      <c r="D28" s="18"/>
      <c r="E28" s="18"/>
      <c r="F28" s="79">
        <f>SUM(I28/F7)</f>
        <v>0.06927577976443239</v>
      </c>
      <c r="G28" s="18"/>
      <c r="H28" s="79">
        <f>SUM(I28/H7)</f>
        <v>0.027710311905772955</v>
      </c>
      <c r="I28" s="58">
        <f>ROUND(Details!F134,0)</f>
        <v>296</v>
      </c>
      <c r="J28" s="58"/>
      <c r="K28" s="21"/>
    </row>
    <row r="29" spans="2:11" ht="15" customHeight="1">
      <c r="B29" s="18" t="s">
        <v>72</v>
      </c>
      <c r="C29" s="18"/>
      <c r="D29" s="18"/>
      <c r="E29" s="18"/>
      <c r="F29" s="79">
        <f>SUM(I29/F7)</f>
        <v>0</v>
      </c>
      <c r="G29" s="18"/>
      <c r="H29" s="79">
        <f>SUM(I29/H7)</f>
        <v>0</v>
      </c>
      <c r="I29" s="58">
        <f>ROUND(Details!F139,0)</f>
        <v>0</v>
      </c>
      <c r="J29" s="58"/>
      <c r="K29" s="21"/>
    </row>
    <row r="30" spans="2:11" ht="15" customHeight="1">
      <c r="B30" s="19" t="s">
        <v>21</v>
      </c>
      <c r="C30" s="19"/>
      <c r="D30" s="19"/>
      <c r="E30" s="19"/>
      <c r="F30" s="83">
        <f>SUM(F23:F29)</f>
        <v>0.37446367440233724</v>
      </c>
      <c r="G30" s="48"/>
      <c r="H30" s="83">
        <f>SUM(H23:H29)</f>
        <v>0.14978546976093488</v>
      </c>
      <c r="I30" s="49">
        <f>SUM(I23:I29)</f>
        <v>1600</v>
      </c>
      <c r="J30" s="49"/>
      <c r="K30" s="21"/>
    </row>
    <row r="31" spans="2:11" ht="15" customHeight="1">
      <c r="B31" s="19" t="s">
        <v>22</v>
      </c>
      <c r="C31" s="19"/>
      <c r="D31" s="19"/>
      <c r="E31" s="19"/>
      <c r="F31" s="80">
        <f>F19+F30</f>
        <v>0.42852686739417467</v>
      </c>
      <c r="G31" s="116"/>
      <c r="H31" s="80">
        <f>H19+H30</f>
        <v>0.17141074695766984</v>
      </c>
      <c r="I31" s="43">
        <f>I19+I30</f>
        <v>1831</v>
      </c>
      <c r="J31" s="43"/>
      <c r="K31" s="21"/>
    </row>
    <row r="32" spans="2:11" ht="15" customHeight="1">
      <c r="B32" s="19"/>
      <c r="C32" s="19"/>
      <c r="D32" s="114"/>
      <c r="E32" s="115"/>
      <c r="F32" s="81"/>
      <c r="G32" s="19"/>
      <c r="H32" s="81"/>
      <c r="I32" s="11"/>
      <c r="J32" s="11"/>
      <c r="K32" s="38"/>
    </row>
    <row r="33" spans="2:11" ht="15" customHeight="1">
      <c r="B33" s="19" t="s">
        <v>140</v>
      </c>
      <c r="C33" s="19"/>
      <c r="D33" s="19"/>
      <c r="E33" s="19"/>
      <c r="F33" s="82">
        <f>SUM(I33/F7)</f>
        <v>0</v>
      </c>
      <c r="G33" s="48"/>
      <c r="H33" s="82">
        <f>SUM(I33/H7)</f>
        <v>0</v>
      </c>
      <c r="I33" s="57">
        <f>ROUND(Details!F144,0)</f>
        <v>0</v>
      </c>
      <c r="J33" s="57"/>
      <c r="K33" s="21"/>
    </row>
    <row r="34" spans="2:11" ht="15" customHeight="1">
      <c r="B34" s="19" t="s">
        <v>23</v>
      </c>
      <c r="C34" s="19"/>
      <c r="D34" s="114"/>
      <c r="E34" s="115"/>
      <c r="F34" s="117">
        <f>F31+F33</f>
        <v>0.42852686739417467</v>
      </c>
      <c r="G34" s="19"/>
      <c r="H34" s="117">
        <f>H31+H33</f>
        <v>0.17141074695766984</v>
      </c>
      <c r="I34" s="43">
        <f>I33+I31</f>
        <v>1831</v>
      </c>
      <c r="J34" s="43"/>
      <c r="K34" s="21"/>
    </row>
    <row r="35" spans="2:11" ht="15" customHeight="1" thickBot="1">
      <c r="B35" s="37"/>
      <c r="C35" s="37"/>
      <c r="D35" s="37"/>
      <c r="E35" s="37"/>
      <c r="F35" s="84"/>
      <c r="G35" s="37"/>
      <c r="H35" s="41"/>
      <c r="I35" s="37"/>
      <c r="J35" s="37"/>
      <c r="K35" s="37"/>
    </row>
    <row r="36" spans="2:11" ht="15" customHeight="1" thickTop="1">
      <c r="B36" s="19" t="s">
        <v>143</v>
      </c>
      <c r="C36" s="18"/>
      <c r="D36" s="18"/>
      <c r="E36" s="8" t="s">
        <v>188</v>
      </c>
      <c r="F36" s="208" t="str">
        <f>ROUND(F7,0)&amp;" kWHr per year"</f>
        <v>4273 kWHr per year</v>
      </c>
      <c r="G36" s="208"/>
      <c r="H36" s="208" t="str">
        <f>ROUND(H7,0)&amp;" kWHr per year"</f>
        <v>10682 kWHr per year</v>
      </c>
      <c r="I36" s="208"/>
      <c r="J36" s="164"/>
      <c r="K36" s="18"/>
    </row>
    <row r="37" spans="2:11" ht="15" customHeight="1">
      <c r="B37" s="19"/>
      <c r="C37" s="18"/>
      <c r="D37" s="18"/>
      <c r="J37" s="165"/>
      <c r="K37" s="18"/>
    </row>
    <row r="38" spans="2:11" ht="15" customHeight="1">
      <c r="B38" s="19" t="s">
        <v>101</v>
      </c>
      <c r="C38" s="18"/>
      <c r="D38" s="18"/>
      <c r="E38" s="18"/>
      <c r="F38" s="181" t="s">
        <v>173</v>
      </c>
      <c r="G38" s="180" t="s">
        <v>14</v>
      </c>
      <c r="H38" s="181" t="s">
        <v>173</v>
      </c>
      <c r="I38" s="180" t="s">
        <v>14</v>
      </c>
      <c r="J38" s="163"/>
      <c r="K38" s="18"/>
    </row>
    <row r="39" spans="2:11" ht="15" customHeight="1">
      <c r="B39" s="18" t="s">
        <v>149</v>
      </c>
      <c r="C39" s="18"/>
      <c r="D39" s="18"/>
      <c r="E39" s="18"/>
      <c r="F39" s="90">
        <f>SUM(G39/F7)</f>
        <v>0.07384160000000001</v>
      </c>
      <c r="G39" s="179">
        <f>Details!F152</f>
        <v>315.50873442816004</v>
      </c>
      <c r="H39" s="90">
        <f>SUM(I39/H7)</f>
        <v>0.07384160000000001</v>
      </c>
      <c r="I39" s="179">
        <f>Details!F159</f>
        <v>788.7718360704001</v>
      </c>
      <c r="J39" s="57"/>
      <c r="K39" s="21"/>
    </row>
    <row r="40" spans="2:11" ht="15" customHeight="1">
      <c r="B40" s="19"/>
      <c r="C40" s="19"/>
      <c r="D40" s="19"/>
      <c r="E40" s="19"/>
      <c r="F40" s="80"/>
      <c r="G40" s="24"/>
      <c r="H40" s="43"/>
      <c r="I40" s="36"/>
      <c r="J40" s="36"/>
      <c r="K40" s="38"/>
    </row>
    <row r="41" spans="2:11" ht="15" customHeight="1">
      <c r="B41" s="19" t="s">
        <v>99</v>
      </c>
      <c r="C41" s="19"/>
      <c r="D41" s="19"/>
      <c r="E41" s="19"/>
      <c r="F41" s="194">
        <f>F39-F34</f>
        <v>-0.35468526739417466</v>
      </c>
      <c r="G41" s="193">
        <f>G39-I34</f>
        <v>-1515.49126557184</v>
      </c>
      <c r="H41" s="194">
        <f>H39-H34</f>
        <v>-0.09756914695766983</v>
      </c>
      <c r="I41" s="193">
        <f>I39-I34</f>
        <v>-1042.2281639295998</v>
      </c>
      <c r="J41" s="71"/>
      <c r="K41" s="21"/>
    </row>
    <row r="42" spans="2:11" ht="15" customHeight="1" thickBot="1">
      <c r="B42" s="37"/>
      <c r="C42" s="37"/>
      <c r="D42" s="37"/>
      <c r="E42" s="37"/>
      <c r="F42" s="84"/>
      <c r="G42" s="37"/>
      <c r="H42" s="41"/>
      <c r="I42" s="37"/>
      <c r="J42" s="37"/>
      <c r="K42" s="37"/>
    </row>
    <row r="43" spans="2:11" ht="15" customHeight="1" thickTop="1">
      <c r="B43" s="38"/>
      <c r="C43" s="38"/>
      <c r="D43" s="38"/>
      <c r="E43" s="8" t="s">
        <v>188</v>
      </c>
      <c r="F43" s="208" t="str">
        <f>ROUND(F7,0)&amp;" kWHr per year"</f>
        <v>4273 kWHr per year</v>
      </c>
      <c r="G43" s="208"/>
      <c r="H43" s="208" t="str">
        <f>ROUND(H7,0)&amp;" kWHr per year"</f>
        <v>10682 kWHr per year</v>
      </c>
      <c r="I43" s="208"/>
      <c r="J43" s="38"/>
      <c r="K43" s="38"/>
    </row>
    <row r="44" spans="2:11" ht="15" customHeight="1">
      <c r="B44" s="4" t="s">
        <v>9</v>
      </c>
      <c r="C44" s="18"/>
      <c r="D44" s="18"/>
      <c r="E44" s="18"/>
      <c r="F44" s="77" t="s">
        <v>145</v>
      </c>
      <c r="G44" s="18"/>
      <c r="H44" s="77" t="s">
        <v>145</v>
      </c>
      <c r="I44" s="162"/>
      <c r="J44" s="162"/>
      <c r="K44" s="162"/>
    </row>
    <row r="45" spans="2:11" ht="15" customHeight="1">
      <c r="B45" s="18" t="s">
        <v>25</v>
      </c>
      <c r="C45" s="18"/>
      <c r="D45" s="18"/>
      <c r="E45" s="18"/>
      <c r="F45" s="85">
        <f>SUM((I19)/(F7))</f>
        <v>0.054063192991837435</v>
      </c>
      <c r="G45" s="18"/>
      <c r="H45" s="85">
        <f>SUM((I19)/(H7))</f>
        <v>0.021625277196734974</v>
      </c>
      <c r="I45" s="29"/>
      <c r="J45" s="29"/>
      <c r="K45" s="21"/>
    </row>
    <row r="46" spans="2:11" ht="15" customHeight="1">
      <c r="B46" s="18" t="s">
        <v>58</v>
      </c>
      <c r="C46" s="18"/>
      <c r="D46" s="18"/>
      <c r="E46" s="18"/>
      <c r="F46" s="85">
        <f>SUM((I19+I33)/(F7))</f>
        <v>0.054063192991837435</v>
      </c>
      <c r="G46" s="18"/>
      <c r="H46" s="85">
        <f>SUM((I19+I33)/(H7))</f>
        <v>0.021625277196734974</v>
      </c>
      <c r="I46" s="29"/>
      <c r="J46" s="29"/>
      <c r="K46" s="21"/>
    </row>
    <row r="47" spans="2:11" ht="15" customHeight="1">
      <c r="B47" s="18" t="s">
        <v>59</v>
      </c>
      <c r="C47" s="18"/>
      <c r="D47" s="18"/>
      <c r="E47" s="18"/>
      <c r="F47" s="85">
        <f>SUM((I19+I30)/(F7))</f>
        <v>0.42852686739417467</v>
      </c>
      <c r="G47" s="18"/>
      <c r="H47" s="85">
        <f>SUM((I19+I30)/(H7))</f>
        <v>0.17141074695766986</v>
      </c>
      <c r="I47" s="29"/>
      <c r="J47" s="29"/>
      <c r="K47" s="21"/>
    </row>
    <row r="48" spans="2:11" ht="15" customHeight="1">
      <c r="B48" s="18" t="s">
        <v>60</v>
      </c>
      <c r="C48" s="18"/>
      <c r="D48" s="18"/>
      <c r="E48" s="18"/>
      <c r="F48" s="85">
        <f>SUM((I31+I33)/(F7))</f>
        <v>0.42852686739417467</v>
      </c>
      <c r="G48" s="18"/>
      <c r="H48" s="85">
        <f>SUM((I31+I33)/(H7))</f>
        <v>0.17141074695766986</v>
      </c>
      <c r="I48" s="29"/>
      <c r="J48" s="29"/>
      <c r="K48" s="118"/>
    </row>
    <row r="49" spans="2:11" ht="15" customHeight="1">
      <c r="B49" s="50" t="s">
        <v>189</v>
      </c>
      <c r="C49" s="38"/>
      <c r="D49" s="38"/>
      <c r="E49" s="38"/>
      <c r="F49" s="86"/>
      <c r="G49" s="38"/>
      <c r="H49" s="38"/>
      <c r="I49" s="38"/>
      <c r="J49" s="38"/>
      <c r="K49" s="38"/>
    </row>
    <row r="50" spans="2:11" ht="15" customHeight="1">
      <c r="B50" s="50"/>
      <c r="C50" s="38"/>
      <c r="D50" s="38"/>
      <c r="E50" s="38"/>
      <c r="F50" s="86"/>
      <c r="G50" s="38"/>
      <c r="H50" s="38"/>
      <c r="I50" s="38"/>
      <c r="J50" s="38"/>
      <c r="K50" s="38"/>
    </row>
    <row r="51" spans="2:11" ht="15" customHeight="1">
      <c r="B51" s="4" t="s">
        <v>150</v>
      </c>
      <c r="C51" s="38"/>
      <c r="D51" s="38"/>
      <c r="E51" s="38"/>
      <c r="F51" s="86"/>
      <c r="G51" s="38"/>
      <c r="H51" s="38"/>
      <c r="I51" s="38"/>
      <c r="J51" s="38"/>
      <c r="K51" s="38"/>
    </row>
    <row r="52" spans="2:11" ht="16.5" customHeight="1">
      <c r="B52" s="138" t="s">
        <v>195</v>
      </c>
      <c r="C52" s="38"/>
      <c r="D52" s="38"/>
      <c r="F52" s="131">
        <f>Details!F191</f>
        <v>0.010516957814272001</v>
      </c>
      <c r="G52" s="38" t="s">
        <v>204</v>
      </c>
      <c r="H52" s="131">
        <f>Details!F196</f>
        <v>0.026292394535680004</v>
      </c>
      <c r="I52" s="38"/>
      <c r="J52" s="38"/>
      <c r="K52" s="38"/>
    </row>
    <row r="53" spans="2:11" ht="16.5" customHeight="1">
      <c r="B53" s="18" t="str">
        <f>"       with "&amp;Input!E24&amp;"% annual MB Hydro rate inflation"</f>
        <v>       with 2.9% annual MB Hydro rate inflation</v>
      </c>
      <c r="C53" s="38"/>
      <c r="D53" s="38"/>
      <c r="F53" s="182">
        <f>Details!F201</f>
        <v>0.014573152298786375</v>
      </c>
      <c r="G53" s="38" t="s">
        <v>205</v>
      </c>
      <c r="H53" s="131">
        <f>Details!F206</f>
        <v>0.036432880746965934</v>
      </c>
      <c r="I53" s="38"/>
      <c r="J53" s="38"/>
      <c r="K53" s="38"/>
    </row>
    <row r="54" spans="2:11" ht="15" customHeight="1">
      <c r="B54" s="38"/>
      <c r="C54" s="38"/>
      <c r="D54" s="38"/>
      <c r="E54" s="38"/>
      <c r="F54" s="86"/>
      <c r="G54" s="38"/>
      <c r="H54" s="124"/>
      <c r="I54" s="38"/>
      <c r="J54" s="38"/>
      <c r="K54" s="38"/>
    </row>
    <row r="55" spans="2:11" ht="15" customHeight="1">
      <c r="B55" s="4" t="s">
        <v>156</v>
      </c>
      <c r="C55" s="18"/>
      <c r="D55" s="18"/>
      <c r="E55" s="18"/>
      <c r="F55" s="77"/>
      <c r="G55" s="18"/>
      <c r="H55" s="96"/>
      <c r="I55" s="18"/>
      <c r="J55" s="18"/>
      <c r="K55" s="18"/>
    </row>
    <row r="56" spans="2:11" ht="16.5" customHeight="1">
      <c r="B56" s="18" t="s">
        <v>199</v>
      </c>
      <c r="C56" s="38"/>
      <c r="D56" s="38"/>
      <c r="E56" s="38"/>
      <c r="F56" s="126">
        <f>Details!F212</f>
        <v>95.08453087478904</v>
      </c>
      <c r="G56" s="38" t="s">
        <v>155</v>
      </c>
      <c r="H56" s="189">
        <f>Details!F217</f>
        <v>38.033812349915614</v>
      </c>
      <c r="I56" s="38" t="s">
        <v>200</v>
      </c>
      <c r="J56" s="38"/>
      <c r="K56" s="38"/>
    </row>
    <row r="57" spans="2:11" ht="16.5" customHeight="1">
      <c r="B57" s="18" t="str">
        <f>"    B. With "&amp;Input!E24&amp;"% annual MB Hydro rate inflation"</f>
        <v>    B. With 2.9% annual MB Hydro rate inflation</v>
      </c>
      <c r="C57" s="38"/>
      <c r="D57" s="38"/>
      <c r="E57" s="38"/>
      <c r="F57" s="187">
        <f>Details!F222</f>
        <v>68.61933365530518</v>
      </c>
      <c r="G57" s="38" t="s">
        <v>157</v>
      </c>
      <c r="H57" s="188">
        <f>Details!F227</f>
        <v>27.447733462122073</v>
      </c>
      <c r="I57" s="38" t="s">
        <v>200</v>
      </c>
      <c r="J57" s="38"/>
      <c r="K57" s="38"/>
    </row>
    <row r="58" spans="2:11" ht="15" customHeight="1">
      <c r="B58" s="18"/>
      <c r="C58" s="38"/>
      <c r="D58" s="38"/>
      <c r="E58" s="38"/>
      <c r="F58" s="187"/>
      <c r="G58" s="38"/>
      <c r="H58" s="188"/>
      <c r="I58" s="38"/>
      <c r="J58" s="38"/>
      <c r="K58" s="38"/>
    </row>
    <row r="59" spans="2:11" ht="15" customHeight="1">
      <c r="B59" s="4" t="str">
        <f>"Desired Simple Payback = "&amp;Input!E38&amp;" Years"</f>
        <v>Desired Simple Payback = 10 Years</v>
      </c>
      <c r="C59" s="38"/>
      <c r="D59" s="38"/>
      <c r="E59" s="38"/>
      <c r="F59" s="187"/>
      <c r="G59" s="38"/>
      <c r="H59" s="188"/>
      <c r="I59" s="38"/>
      <c r="J59" s="38"/>
      <c r="K59" s="38"/>
    </row>
    <row r="60" spans="2:11" ht="16.5" customHeight="1">
      <c r="B60" s="38" t="s">
        <v>203</v>
      </c>
      <c r="C60" s="38"/>
      <c r="D60" s="38"/>
      <c r="E60" s="38"/>
      <c r="F60" s="125">
        <f>SUM(Input!E38*Details!F152)</f>
        <v>3155.0873442816005</v>
      </c>
      <c r="G60" s="38" t="s">
        <v>204</v>
      </c>
      <c r="H60" s="125">
        <f>SUM(Input!E38*Details!F159)</f>
        <v>7887.7183607040015</v>
      </c>
      <c r="I60" s="38"/>
      <c r="J60" s="38"/>
      <c r="K60" s="38"/>
    </row>
    <row r="61" spans="2:11" ht="16.5" customHeight="1">
      <c r="B61" s="18" t="str">
        <f>"    D. Max. Capital Cost w/ "&amp;Input!E24&amp;"% Hydro inflation"</f>
        <v>    D. Max. Capital Cost w/ 2.9% Hydro inflation</v>
      </c>
      <c r="C61" s="38"/>
      <c r="D61" s="38"/>
      <c r="E61" s="38"/>
      <c r="F61" s="125">
        <f>SUM(Input!E38*Details!F178)</f>
        <v>4371.9456896359125</v>
      </c>
      <c r="G61" s="38" t="s">
        <v>205</v>
      </c>
      <c r="H61" s="125">
        <f>SUM(Input!E38*Details!F185)</f>
        <v>10929.86422408978</v>
      </c>
      <c r="I61" s="38"/>
      <c r="J61" s="38"/>
      <c r="K61" s="38"/>
    </row>
    <row r="62" spans="2:11" ht="15" customHeight="1" thickBot="1">
      <c r="B62" s="37"/>
      <c r="C62" s="37"/>
      <c r="D62" s="37"/>
      <c r="E62" s="37"/>
      <c r="F62" s="191"/>
      <c r="G62" s="37"/>
      <c r="H62" s="41"/>
      <c r="I62" s="37"/>
      <c r="J62" s="37"/>
      <c r="K62" s="37"/>
    </row>
    <row r="63" spans="2:11" ht="15" customHeight="1" thickTop="1">
      <c r="B63" s="127" t="str">
        <f>"1. Based on Hydro rate @ $"&amp;Input!E21&amp;" per kWh plus PST &amp; GST."</f>
        <v>1. Based on Hydro rate @ $0.0694 per kWh plus PST &amp; GST.</v>
      </c>
      <c r="C63" s="38"/>
      <c r="D63" s="38"/>
      <c r="E63" s="38"/>
      <c r="F63" s="86"/>
      <c r="G63" s="38"/>
      <c r="H63" s="124"/>
      <c r="I63" s="38"/>
      <c r="J63" s="38"/>
      <c r="K63" s="38"/>
    </row>
    <row r="64" spans="2:11" ht="15" customHeight="1">
      <c r="B64" s="127" t="str">
        <f>"2. Based on "&amp;Input!E37&amp;" year average Hydro rate @ $"&amp;ROUND((Input!E21+((FV((Input!E24/100),Input!E37,0,-Input!E21)-Input!E21)/2)),3)&amp;" per kWh plus PST &amp; GST."</f>
        <v>2. Based on 20 year average Hydro rate @ $0.096 per kWh plus PST &amp; GST.</v>
      </c>
      <c r="C64" s="38"/>
      <c r="D64" s="38"/>
      <c r="E64" s="38"/>
      <c r="F64" s="86"/>
      <c r="G64" s="38"/>
      <c r="H64" s="124"/>
      <c r="I64" s="38"/>
      <c r="J64" s="38"/>
      <c r="K64" s="38"/>
    </row>
    <row r="65" spans="2:11" ht="15" customHeight="1">
      <c r="B65" s="127"/>
      <c r="C65" s="38"/>
      <c r="D65" s="38"/>
      <c r="E65" s="38"/>
      <c r="F65" s="86"/>
      <c r="G65" s="38"/>
      <c r="H65" s="124"/>
      <c r="I65" s="38"/>
      <c r="J65" s="38"/>
      <c r="K65" s="38"/>
    </row>
    <row r="66" spans="2:11" ht="15" customHeight="1">
      <c r="B66" s="206" t="s">
        <v>55</v>
      </c>
      <c r="C66" s="207"/>
      <c r="D66" s="207"/>
      <c r="E66" s="207"/>
      <c r="F66" s="207"/>
      <c r="G66" s="207"/>
      <c r="H66" s="207"/>
      <c r="I66" s="207"/>
      <c r="J66" s="207"/>
      <c r="K66" s="207"/>
    </row>
    <row r="67" spans="2:11" ht="15" customHeight="1">
      <c r="B67" s="207"/>
      <c r="C67" s="207"/>
      <c r="D67" s="207"/>
      <c r="E67" s="207"/>
      <c r="F67" s="207"/>
      <c r="G67" s="207"/>
      <c r="H67" s="207"/>
      <c r="I67" s="207"/>
      <c r="J67" s="207"/>
      <c r="K67" s="207"/>
    </row>
    <row r="68" spans="2:11" ht="15" customHeight="1">
      <c r="B68" s="207"/>
      <c r="C68" s="207"/>
      <c r="D68" s="207"/>
      <c r="E68" s="207"/>
      <c r="F68" s="207"/>
      <c r="G68" s="207"/>
      <c r="H68" s="207"/>
      <c r="I68" s="207"/>
      <c r="J68" s="207"/>
      <c r="K68" s="207"/>
    </row>
    <row r="69" ht="15" customHeight="1">
      <c r="F69" s="139"/>
    </row>
  </sheetData>
  <sheetProtection password="C6A6" sheet="1" objects="1" scenarios="1"/>
  <mergeCells count="7">
    <mergeCell ref="B4:K4"/>
    <mergeCell ref="B2:K2"/>
    <mergeCell ref="B66:K68"/>
    <mergeCell ref="F36:G36"/>
    <mergeCell ref="H36:I36"/>
    <mergeCell ref="F43:G43"/>
    <mergeCell ref="H43:I43"/>
  </mergeCells>
  <printOptions horizontalCentered="1" verticalCentered="1"/>
  <pageMargins left="0.748031496062992" right="0.748031496062992" top="0.73" bottom="0.86" header="0.511811023622047" footer="0.511811023622047"/>
  <pageSetup firstPageNumber="2" useFirstPageNumber="1" fitToHeight="1" fitToWidth="1" horizontalDpi="600" verticalDpi="600" orientation="portrait" scale="67" r:id="rId1"/>
  <headerFooter alignWithMargins="0">
    <oddHeader>&amp;L&amp;9Guidelines: On-Farm Wind Energy Production Costs&amp;R&amp;P</oddHeader>
    <oddFooter>&amp;R&amp;"Arial,Italic"&amp;9MAFRI, GO Team Branch</oddFooter>
  </headerFooter>
  <ignoredErrors>
    <ignoredError sqref="G39 G41" formula="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A2:J63"/>
  <sheetViews>
    <sheetView showGridLines="0" zoomScalePageLayoutView="0" workbookViewId="0" topLeftCell="A1">
      <selection activeCell="E29" sqref="E29"/>
    </sheetView>
  </sheetViews>
  <sheetFormatPr defaultColWidth="9.77734375" defaultRowHeight="15"/>
  <cols>
    <col min="1" max="1" width="12.6640625" style="3" customWidth="1"/>
    <col min="2" max="2" width="8.6640625" style="3" customWidth="1"/>
    <col min="3" max="3" width="8.5546875" style="3" customWidth="1"/>
    <col min="4" max="4" width="10.3359375" style="3" customWidth="1"/>
    <col min="5" max="5" width="11.21484375" style="3" customWidth="1"/>
    <col min="6" max="6" width="7.88671875" style="3" customWidth="1"/>
    <col min="7" max="7" width="6.21484375" style="3" customWidth="1"/>
    <col min="8" max="8" width="8.99609375" style="3" customWidth="1"/>
    <col min="9" max="9" width="8.4453125" style="3" customWidth="1"/>
  </cols>
  <sheetData>
    <row r="1" ht="15"/>
    <row r="2" spans="1:9" ht="18">
      <c r="A2" s="209" t="s">
        <v>112</v>
      </c>
      <c r="B2" s="204"/>
      <c r="C2" s="204"/>
      <c r="D2" s="204"/>
      <c r="E2" s="204"/>
      <c r="F2" s="204"/>
      <c r="G2" s="204"/>
      <c r="H2" s="204"/>
      <c r="I2" s="204"/>
    </row>
    <row r="3" ht="15"/>
    <row r="4" ht="15.75">
      <c r="A4" s="4" t="s">
        <v>28</v>
      </c>
    </row>
    <row r="5" ht="15"/>
    <row r="6" spans="1:10" ht="15">
      <c r="A6" s="3" t="s">
        <v>113</v>
      </c>
      <c r="J6" s="26"/>
    </row>
    <row r="7" spans="1:10" ht="15">
      <c r="A7" s="3" t="s">
        <v>47</v>
      </c>
      <c r="J7" s="26"/>
    </row>
    <row r="8" spans="1:10" ht="15">
      <c r="A8" s="3" t="s">
        <v>206</v>
      </c>
      <c r="J8" s="26"/>
    </row>
    <row r="9" spans="1:10" ht="15">
      <c r="A9" s="3" t="s">
        <v>207</v>
      </c>
      <c r="J9" s="26"/>
    </row>
    <row r="10" spans="1:10" ht="15">
      <c r="A10" s="3" t="s">
        <v>208</v>
      </c>
      <c r="J10" s="26"/>
    </row>
    <row r="11" spans="1:10" ht="15">
      <c r="A11" s="3" t="s">
        <v>212</v>
      </c>
      <c r="J11" s="26"/>
    </row>
    <row r="12" spans="1:10" ht="15">
      <c r="A12" s="3" t="s">
        <v>211</v>
      </c>
      <c r="J12" s="26"/>
    </row>
    <row r="13" ht="15"/>
    <row r="14" spans="1:8" ht="15.75">
      <c r="A14" s="4" t="s">
        <v>105</v>
      </c>
      <c r="E14" s="67"/>
      <c r="H14" s="6"/>
    </row>
    <row r="15" spans="1:8" ht="15.75">
      <c r="A15" s="3" t="s">
        <v>106</v>
      </c>
      <c r="E15" s="112">
        <v>3.5</v>
      </c>
      <c r="H15" s="7"/>
    </row>
    <row r="16" spans="1:8" ht="15.75">
      <c r="A16" s="3" t="s">
        <v>181</v>
      </c>
      <c r="E16" s="156">
        <v>34.84</v>
      </c>
      <c r="F16" s="3" t="s">
        <v>34</v>
      </c>
      <c r="H16" s="52"/>
    </row>
    <row r="17" spans="1:8" ht="15.75">
      <c r="A17" s="3" t="s">
        <v>182</v>
      </c>
      <c r="E17" s="161">
        <v>40</v>
      </c>
      <c r="F17" s="3" t="s">
        <v>34</v>
      </c>
      <c r="H17" s="52"/>
    </row>
    <row r="18" spans="1:8" ht="15.75">
      <c r="A18" s="3" t="s">
        <v>62</v>
      </c>
      <c r="E18" s="102">
        <v>365</v>
      </c>
      <c r="H18" s="7"/>
    </row>
    <row r="19" spans="1:8" ht="15.75">
      <c r="A19" s="3" t="s">
        <v>63</v>
      </c>
      <c r="E19" s="103">
        <v>24</v>
      </c>
      <c r="H19" s="51"/>
    </row>
    <row r="20" spans="1:8" ht="15.75">
      <c r="A20" s="3" t="s">
        <v>107</v>
      </c>
      <c r="E20" s="158">
        <v>0</v>
      </c>
      <c r="H20" s="52"/>
    </row>
    <row r="21" spans="1:8" ht="15.75">
      <c r="A21" s="3" t="s">
        <v>108</v>
      </c>
      <c r="E21" s="113">
        <v>0.0694</v>
      </c>
      <c r="F21" s="3" t="s">
        <v>65</v>
      </c>
      <c r="H21" s="52"/>
    </row>
    <row r="22" spans="1:8" ht="15.75">
      <c r="A22" s="3" t="s">
        <v>151</v>
      </c>
      <c r="E22" s="105">
        <v>1.4</v>
      </c>
      <c r="F22" s="3" t="s">
        <v>34</v>
      </c>
      <c r="H22" s="52"/>
    </row>
    <row r="23" spans="1:8" ht="15.75">
      <c r="A23" s="3" t="s">
        <v>152</v>
      </c>
      <c r="E23" s="105">
        <v>5</v>
      </c>
      <c r="F23" s="3" t="s">
        <v>34</v>
      </c>
      <c r="H23" s="52"/>
    </row>
    <row r="24" spans="1:8" ht="15.75">
      <c r="A24" s="3" t="s">
        <v>162</v>
      </c>
      <c r="E24" s="149">
        <v>2.9</v>
      </c>
      <c r="F24" s="3" t="s">
        <v>34</v>
      </c>
      <c r="H24" s="52"/>
    </row>
    <row r="25" spans="5:8" ht="15.75">
      <c r="E25" s="97"/>
      <c r="H25" s="52"/>
    </row>
    <row r="26" ht="15.75">
      <c r="A26" s="4" t="s">
        <v>38</v>
      </c>
    </row>
    <row r="27" spans="1:8" ht="15.75">
      <c r="A27" s="3" t="s">
        <v>66</v>
      </c>
      <c r="E27" s="128">
        <v>0.25</v>
      </c>
      <c r="F27" s="3" t="s">
        <v>34</v>
      </c>
      <c r="H27" s="52"/>
    </row>
    <row r="28" spans="1:8" ht="15.75">
      <c r="A28" s="3" t="s">
        <v>64</v>
      </c>
      <c r="E28" s="104">
        <v>17.5</v>
      </c>
      <c r="F28" s="3" t="s">
        <v>61</v>
      </c>
      <c r="H28" s="52"/>
    </row>
    <row r="29" spans="1:8" ht="15.75">
      <c r="A29" s="3" t="s">
        <v>142</v>
      </c>
      <c r="E29" s="128">
        <v>0</v>
      </c>
      <c r="H29" s="51"/>
    </row>
    <row r="30" spans="1:8" ht="15.75">
      <c r="A30" s="3" t="s">
        <v>109</v>
      </c>
      <c r="E30" s="107">
        <v>0</v>
      </c>
      <c r="F30" s="3" t="s">
        <v>71</v>
      </c>
      <c r="H30" s="52"/>
    </row>
    <row r="31" spans="1:8" ht="15.75">
      <c r="A31" s="3" t="s">
        <v>67</v>
      </c>
      <c r="E31" s="106">
        <v>0.5</v>
      </c>
      <c r="F31" s="3" t="s">
        <v>34</v>
      </c>
      <c r="H31" s="52"/>
    </row>
    <row r="32" spans="1:8" ht="15.75">
      <c r="A32" s="3" t="s">
        <v>68</v>
      </c>
      <c r="E32" s="106">
        <v>0</v>
      </c>
      <c r="F32" s="3" t="s">
        <v>34</v>
      </c>
      <c r="H32" s="52"/>
    </row>
    <row r="33" spans="5:8" ht="15">
      <c r="E33" s="13"/>
      <c r="H33" s="13"/>
    </row>
    <row r="34" spans="1:6" ht="15.75">
      <c r="A34" s="3" t="s">
        <v>73</v>
      </c>
      <c r="E34" s="150">
        <v>2.5</v>
      </c>
      <c r="F34" s="3" t="s">
        <v>34</v>
      </c>
    </row>
    <row r="35" spans="1:6" ht="15.75">
      <c r="A35" s="3" t="s">
        <v>74</v>
      </c>
      <c r="E35" s="150">
        <v>5.5</v>
      </c>
      <c r="F35" s="3" t="s">
        <v>34</v>
      </c>
    </row>
    <row r="36" ht="15.75">
      <c r="E36" s="106"/>
    </row>
    <row r="37" spans="1:8" ht="15.75">
      <c r="A37" s="3" t="s">
        <v>172</v>
      </c>
      <c r="E37" s="157">
        <v>20</v>
      </c>
      <c r="F37" s="3" t="s">
        <v>148</v>
      </c>
      <c r="H37" s="52"/>
    </row>
    <row r="38" spans="1:8" ht="15.75">
      <c r="A38" s="3" t="s">
        <v>147</v>
      </c>
      <c r="E38" s="157">
        <v>10</v>
      </c>
      <c r="F38" s="3" t="s">
        <v>148</v>
      </c>
      <c r="H38" s="52"/>
    </row>
    <row r="39" spans="4:9" ht="15">
      <c r="D39" s="3" t="s">
        <v>0</v>
      </c>
      <c r="E39" s="5" t="s">
        <v>0</v>
      </c>
      <c r="H39" s="5"/>
      <c r="I39" s="3" t="s">
        <v>0</v>
      </c>
    </row>
    <row r="40" spans="1:10" ht="15.75">
      <c r="A40" s="4" t="s">
        <v>29</v>
      </c>
      <c r="J40" s="62"/>
    </row>
    <row r="41" spans="1:9" ht="15.75">
      <c r="A41" s="4" t="s">
        <v>69</v>
      </c>
      <c r="D41" s="39" t="s">
        <v>41</v>
      </c>
      <c r="E41" s="8"/>
      <c r="F41" s="212" t="s">
        <v>42</v>
      </c>
      <c r="G41" s="213"/>
      <c r="H41" s="210" t="s">
        <v>30</v>
      </c>
      <c r="I41" s="211"/>
    </row>
    <row r="42" spans="1:9" ht="15.75">
      <c r="A42" s="3" t="s">
        <v>159</v>
      </c>
      <c r="D42" s="147">
        <v>6000</v>
      </c>
      <c r="E42" s="137"/>
      <c r="F42" s="136">
        <v>30</v>
      </c>
      <c r="G42" s="18" t="s">
        <v>34</v>
      </c>
      <c r="H42" s="152">
        <v>30</v>
      </c>
      <c r="I42" s="3" t="s">
        <v>39</v>
      </c>
    </row>
    <row r="43" spans="1:9" ht="15.75">
      <c r="A43" s="3" t="s">
        <v>160</v>
      </c>
      <c r="D43" s="151">
        <v>2500</v>
      </c>
      <c r="E43" s="53"/>
      <c r="F43" s="108">
        <v>30</v>
      </c>
      <c r="G43" s="18" t="s">
        <v>34</v>
      </c>
      <c r="H43" s="153">
        <v>30</v>
      </c>
      <c r="I43" s="3" t="s">
        <v>39</v>
      </c>
    </row>
    <row r="44" spans="1:9" ht="15.75">
      <c r="A44" s="4" t="s">
        <v>49</v>
      </c>
      <c r="D44" s="98">
        <f>SUM(D42:D43)</f>
        <v>8500</v>
      </c>
      <c r="E44" s="11"/>
      <c r="F44" s="99">
        <f>AVERAGE(F42:F43)</f>
        <v>30</v>
      </c>
      <c r="G44" s="18" t="s">
        <v>34</v>
      </c>
      <c r="H44" s="99">
        <f>AVERAGE(H42:H43)</f>
        <v>30</v>
      </c>
      <c r="I44" s="3" t="s">
        <v>39</v>
      </c>
    </row>
    <row r="45" spans="7:9" ht="15">
      <c r="G45" s="3" t="s">
        <v>0</v>
      </c>
      <c r="I45" s="3" t="s">
        <v>0</v>
      </c>
    </row>
    <row r="46" ht="15.75">
      <c r="A46" s="4" t="s">
        <v>18</v>
      </c>
    </row>
    <row r="47" spans="1:9" ht="15.75">
      <c r="A47" s="3" t="s">
        <v>110</v>
      </c>
      <c r="D47" s="155">
        <v>20000</v>
      </c>
      <c r="E47" s="7"/>
      <c r="F47" s="102">
        <v>10</v>
      </c>
      <c r="G47" s="18" t="s">
        <v>34</v>
      </c>
      <c r="H47" s="154">
        <v>20</v>
      </c>
      <c r="I47" s="3" t="s">
        <v>39</v>
      </c>
    </row>
    <row r="48" spans="1:9" ht="15.75">
      <c r="A48" s="3" t="s">
        <v>158</v>
      </c>
      <c r="D48" s="147">
        <v>200</v>
      </c>
      <c r="E48" s="10"/>
      <c r="F48" s="136">
        <v>10</v>
      </c>
      <c r="G48" s="18" t="s">
        <v>34</v>
      </c>
      <c r="H48" s="152">
        <v>20</v>
      </c>
      <c r="I48" s="3" t="s">
        <v>39</v>
      </c>
    </row>
    <row r="49" spans="1:9" ht="15.75">
      <c r="A49" s="3" t="s">
        <v>161</v>
      </c>
      <c r="D49" s="147">
        <v>1300</v>
      </c>
      <c r="E49" s="10"/>
      <c r="F49" s="108">
        <v>10</v>
      </c>
      <c r="G49" s="18" t="s">
        <v>34</v>
      </c>
      <c r="H49" s="153">
        <v>20</v>
      </c>
      <c r="I49" s="3" t="s">
        <v>39</v>
      </c>
    </row>
    <row r="50" spans="1:8" ht="15.75">
      <c r="A50" s="3" t="s">
        <v>171</v>
      </c>
      <c r="D50" s="148">
        <f>-E20</f>
        <v>0</v>
      </c>
      <c r="E50" s="10"/>
      <c r="F50" s="108"/>
      <c r="G50" s="18"/>
      <c r="H50" s="108"/>
    </row>
    <row r="51" spans="1:9" ht="15.75">
      <c r="A51" s="4" t="s">
        <v>50</v>
      </c>
      <c r="D51" s="100">
        <f>SUM(D47:D50)</f>
        <v>21500</v>
      </c>
      <c r="E51" s="11"/>
      <c r="F51" s="99">
        <f>AVERAGE(F47:F49)</f>
        <v>10</v>
      </c>
      <c r="G51" s="18" t="s">
        <v>34</v>
      </c>
      <c r="H51" s="99">
        <f>AVERAGE(H47:H49)</f>
        <v>20</v>
      </c>
      <c r="I51" s="3" t="s">
        <v>39</v>
      </c>
    </row>
    <row r="52" spans="1:5" ht="15.75">
      <c r="A52" s="4"/>
      <c r="D52" s="100"/>
      <c r="E52" s="11"/>
    </row>
    <row r="53" spans="1:8" ht="15.75">
      <c r="A53" s="4" t="s">
        <v>70</v>
      </c>
      <c r="D53" s="100">
        <f>D44+D51</f>
        <v>30000</v>
      </c>
      <c r="E53" s="12"/>
      <c r="G53" s="5"/>
      <c r="H53" s="5"/>
    </row>
    <row r="54" spans="1:8" ht="15.75">
      <c r="A54" s="4"/>
      <c r="D54" s="101"/>
      <c r="E54" s="12"/>
      <c r="G54" s="5"/>
      <c r="H54" s="5"/>
    </row>
    <row r="55" spans="1:8" ht="15.75">
      <c r="A55" s="4" t="s">
        <v>93</v>
      </c>
      <c r="D55" s="109">
        <v>0</v>
      </c>
      <c r="E55" s="12"/>
      <c r="G55" s="5"/>
      <c r="H55" s="5"/>
    </row>
    <row r="56" ht="15.75">
      <c r="E56" s="11"/>
    </row>
    <row r="57" spans="1:8" ht="15.75">
      <c r="A57" s="4" t="s">
        <v>40</v>
      </c>
      <c r="D57" s="100">
        <f>D53+D55</f>
        <v>30000</v>
      </c>
      <c r="E57" s="12"/>
      <c r="G57" s="5" t="s">
        <v>0</v>
      </c>
      <c r="H57" s="5"/>
    </row>
    <row r="58" spans="6:8" ht="15">
      <c r="F58" s="130"/>
      <c r="G58" s="130"/>
      <c r="H58" s="130"/>
    </row>
    <row r="59" ht="15">
      <c r="E59" s="129"/>
    </row>
    <row r="60" ht="15">
      <c r="E60" s="129"/>
    </row>
    <row r="61" ht="15">
      <c r="E61" s="129"/>
    </row>
    <row r="62" ht="15">
      <c r="E62" s="129"/>
    </row>
    <row r="63" spans="5:8" ht="15">
      <c r="E63" s="129"/>
      <c r="H63" s="73"/>
    </row>
  </sheetData>
  <sheetProtection password="C6A6" sheet="1" objects="1" scenarios="1" selectLockedCells="1"/>
  <mergeCells count="3">
    <mergeCell ref="A2:I2"/>
    <mergeCell ref="H41:I41"/>
    <mergeCell ref="F41:G41"/>
  </mergeCells>
  <printOptions horizontalCentered="1"/>
  <pageMargins left="0.75" right="0.75" top="1" bottom="1" header="0.5" footer="0.5"/>
  <pageSetup fitToHeight="1" fitToWidth="1" horizontalDpi="600" verticalDpi="600" orientation="portrait" scale="74" r:id="rId3"/>
  <headerFooter alignWithMargins="0">
    <oddHeader>&amp;L&amp;9Guidelines: On-Farm Wind Energy Production Costs</oddHeader>
    <oddFooter>&amp;R&amp;"Arial,Italic"&amp;9MAFRI, GO Team Branch</oddFooter>
  </headerFooter>
  <ignoredErrors>
    <ignoredError sqref="F51 H51"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R245"/>
  <sheetViews>
    <sheetView showGridLines="0" zoomScalePageLayoutView="0" workbookViewId="0" topLeftCell="A1">
      <selection activeCell="D6" sqref="D6"/>
    </sheetView>
  </sheetViews>
  <sheetFormatPr defaultColWidth="8.88671875" defaultRowHeight="15" customHeight="1"/>
  <cols>
    <col min="1" max="1" width="3.21484375" style="15" customWidth="1"/>
    <col min="2" max="2" width="5.6640625" style="15" customWidth="1"/>
    <col min="3" max="3" width="5.5546875" style="15" customWidth="1"/>
    <col min="4" max="4" width="9.21484375" style="15" customWidth="1"/>
    <col min="5" max="5" width="3.77734375" style="15" customWidth="1"/>
    <col min="6" max="6" width="12.77734375" style="15" customWidth="1"/>
    <col min="7" max="7" width="2.21484375" style="15" customWidth="1"/>
    <col min="8" max="8" width="10.88671875" style="15" bestFit="1" customWidth="1"/>
    <col min="9" max="9" width="14.4453125" style="15" customWidth="1"/>
    <col min="10" max="10" width="12.4453125" style="15" customWidth="1"/>
    <col min="11" max="16384" width="8.88671875" style="15" customWidth="1"/>
  </cols>
  <sheetData>
    <row r="1" spans="1:10" ht="15" customHeight="1">
      <c r="A1" s="14"/>
      <c r="B1" s="14"/>
      <c r="C1" s="14"/>
      <c r="D1" s="14"/>
      <c r="E1" s="14"/>
      <c r="F1" s="14"/>
      <c r="G1" s="14"/>
      <c r="H1" s="14"/>
      <c r="I1" s="14"/>
      <c r="J1" s="14"/>
    </row>
    <row r="2" spans="1:10" ht="15" customHeight="1">
      <c r="A2" s="14"/>
      <c r="B2" s="204" t="s">
        <v>28</v>
      </c>
      <c r="C2" s="204"/>
      <c r="D2" s="216"/>
      <c r="E2" s="216"/>
      <c r="F2" s="216"/>
      <c r="G2" s="216"/>
      <c r="H2" s="216"/>
      <c r="I2" s="216"/>
      <c r="J2" s="216"/>
    </row>
    <row r="3" spans="1:10" ht="15" customHeight="1">
      <c r="A3" s="14"/>
      <c r="B3" s="14"/>
      <c r="C3" s="14"/>
      <c r="D3" s="14"/>
      <c r="E3" s="9"/>
      <c r="F3" s="9"/>
      <c r="G3" s="9"/>
      <c r="H3" s="9"/>
      <c r="I3" s="9"/>
      <c r="J3" s="14"/>
    </row>
    <row r="4" spans="1:10" ht="15.75">
      <c r="A4" s="4" t="s">
        <v>28</v>
      </c>
      <c r="B4" s="3"/>
      <c r="C4" s="3"/>
      <c r="D4" s="3"/>
      <c r="E4" s="3"/>
      <c r="F4" s="3"/>
      <c r="G4" s="3"/>
      <c r="H4" s="3"/>
      <c r="I4" s="3"/>
      <c r="J4" s="26"/>
    </row>
    <row r="5" spans="1:10" ht="15">
      <c r="A5" s="3" t="s">
        <v>113</v>
      </c>
      <c r="B5" s="3"/>
      <c r="C5" s="3"/>
      <c r="D5" s="3"/>
      <c r="E5" s="3"/>
      <c r="F5" s="3"/>
      <c r="G5" s="3"/>
      <c r="H5" s="3"/>
      <c r="I5" s="3"/>
      <c r="J5" s="26"/>
    </row>
    <row r="6" spans="1:10" ht="15">
      <c r="A6" s="3" t="s">
        <v>47</v>
      </c>
      <c r="B6" s="3"/>
      <c r="C6" s="3"/>
      <c r="D6" s="3"/>
      <c r="E6" s="3"/>
      <c r="F6" s="3"/>
      <c r="G6" s="3"/>
      <c r="H6" s="3"/>
      <c r="I6" s="3"/>
      <c r="J6" s="26"/>
    </row>
    <row r="7" spans="1:10" ht="15">
      <c r="A7" s="3" t="s">
        <v>206</v>
      </c>
      <c r="B7" s="3"/>
      <c r="C7" s="3"/>
      <c r="D7" s="3"/>
      <c r="E7" s="3"/>
      <c r="F7" s="3"/>
      <c r="G7" s="3"/>
      <c r="H7" s="3"/>
      <c r="I7" s="3"/>
      <c r="J7" s="26"/>
    </row>
    <row r="8" spans="1:10" ht="15">
      <c r="A8" s="3" t="s">
        <v>207</v>
      </c>
      <c r="B8" s="3"/>
      <c r="C8" s="3"/>
      <c r="D8" s="3"/>
      <c r="E8" s="3"/>
      <c r="F8" s="3"/>
      <c r="G8" s="3"/>
      <c r="H8" s="3"/>
      <c r="I8" s="3"/>
      <c r="J8" s="26"/>
    </row>
    <row r="9" spans="1:10" ht="15">
      <c r="A9" s="3" t="s">
        <v>208</v>
      </c>
      <c r="B9" s="3"/>
      <c r="C9" s="3"/>
      <c r="D9" s="3"/>
      <c r="E9" s="3"/>
      <c r="F9" s="3"/>
      <c r="G9" s="3"/>
      <c r="H9" s="3"/>
      <c r="I9" s="3"/>
      <c r="J9" s="26"/>
    </row>
    <row r="10" spans="1:10" ht="15">
      <c r="A10" s="3" t="s">
        <v>212</v>
      </c>
      <c r="B10" s="3"/>
      <c r="C10" s="3"/>
      <c r="D10" s="3"/>
      <c r="E10" s="3"/>
      <c r="F10" s="3"/>
      <c r="G10" s="3"/>
      <c r="H10" s="3"/>
      <c r="I10" s="3"/>
      <c r="J10" s="26"/>
    </row>
    <row r="11" spans="1:10" ht="15">
      <c r="A11" s="3" t="s">
        <v>211</v>
      </c>
      <c r="B11" s="3"/>
      <c r="C11" s="3"/>
      <c r="D11" s="3"/>
      <c r="E11" s="3"/>
      <c r="F11" s="3"/>
      <c r="G11" s="3"/>
      <c r="H11" s="3"/>
      <c r="I11" s="3"/>
      <c r="J11" s="26"/>
    </row>
    <row r="12" spans="1:10" ht="15" customHeight="1">
      <c r="A12" s="14"/>
      <c r="B12" s="18"/>
      <c r="C12" s="18"/>
      <c r="D12" s="18"/>
      <c r="E12" s="18"/>
      <c r="F12" s="18"/>
      <c r="G12" s="18"/>
      <c r="H12" s="18"/>
      <c r="I12" s="18"/>
      <c r="J12" s="18"/>
    </row>
    <row r="13" spans="1:10" ht="15" customHeight="1">
      <c r="A13" s="219" t="s">
        <v>114</v>
      </c>
      <c r="B13" s="220"/>
      <c r="C13" s="220"/>
      <c r="D13" s="220"/>
      <c r="E13" s="220"/>
      <c r="F13" s="220"/>
      <c r="G13" s="220"/>
      <c r="H13" s="220"/>
      <c r="I13" s="220"/>
      <c r="J13" s="220"/>
    </row>
    <row r="14" spans="1:10" ht="15" customHeight="1">
      <c r="A14" s="110"/>
      <c r="B14" s="111"/>
      <c r="C14" s="111"/>
      <c r="D14" s="111"/>
      <c r="E14" s="111"/>
      <c r="F14" s="111"/>
      <c r="G14" s="111"/>
      <c r="H14" s="111"/>
      <c r="I14" s="111"/>
      <c r="J14" s="111"/>
    </row>
    <row r="15" spans="1:10" ht="15" customHeight="1">
      <c r="A15" s="16"/>
      <c r="B15" s="4" t="s">
        <v>122</v>
      </c>
      <c r="C15" s="18"/>
      <c r="D15" s="18"/>
      <c r="E15" s="18"/>
      <c r="F15" s="18"/>
      <c r="G15" s="18"/>
      <c r="H15" s="18"/>
      <c r="I15" s="18"/>
      <c r="J15" s="18"/>
    </row>
    <row r="16" spans="1:10" ht="15" customHeight="1">
      <c r="A16" s="14"/>
      <c r="C16" s="19" t="s">
        <v>178</v>
      </c>
      <c r="D16" s="18"/>
      <c r="E16" s="18"/>
      <c r="F16" s="18"/>
      <c r="G16" s="18"/>
      <c r="H16" s="18"/>
      <c r="I16" s="18"/>
      <c r="J16" s="18"/>
    </row>
    <row r="17" spans="1:10" ht="15" customHeight="1">
      <c r="A17" s="14"/>
      <c r="B17" s="18"/>
      <c r="C17" s="18"/>
      <c r="D17" s="18"/>
      <c r="E17" s="22" t="s">
        <v>10</v>
      </c>
      <c r="F17" s="174">
        <f>(Input!E16/100)</f>
        <v>0.34840000000000004</v>
      </c>
      <c r="G17" s="18"/>
      <c r="H17" s="3" t="s">
        <v>183</v>
      </c>
      <c r="I17" s="18"/>
      <c r="J17" s="21"/>
    </row>
    <row r="18" spans="1:10" ht="15" customHeight="1">
      <c r="A18" s="14"/>
      <c r="B18" s="18"/>
      <c r="C18" s="18"/>
      <c r="D18" s="18"/>
      <c r="E18" s="23" t="s">
        <v>10</v>
      </c>
      <c r="F18" s="176">
        <f>(Input!E17/100)</f>
        <v>0.4</v>
      </c>
      <c r="G18" s="18"/>
      <c r="H18" s="73" t="s">
        <v>184</v>
      </c>
      <c r="I18" s="18"/>
      <c r="J18" s="21"/>
    </row>
    <row r="19" spans="1:10" ht="15" customHeight="1">
      <c r="A19" s="14"/>
      <c r="B19" s="18"/>
      <c r="C19" s="18"/>
      <c r="D19" s="18"/>
      <c r="E19" s="19" t="s">
        <v>12</v>
      </c>
      <c r="F19" s="174">
        <f>F17*F18</f>
        <v>0.13936</v>
      </c>
      <c r="G19" s="18"/>
      <c r="H19" s="3" t="s">
        <v>117</v>
      </c>
      <c r="I19" s="18"/>
      <c r="J19" s="21"/>
    </row>
    <row r="20" spans="1:10" ht="15" customHeight="1">
      <c r="A20" s="14"/>
      <c r="B20" s="18"/>
      <c r="C20" s="18"/>
      <c r="D20" s="18"/>
      <c r="E20" s="18"/>
      <c r="F20" s="119">
        <f>Input!E15</f>
        <v>3.5</v>
      </c>
      <c r="G20" s="18"/>
      <c r="H20" s="3" t="s">
        <v>116</v>
      </c>
      <c r="I20" s="18"/>
      <c r="J20" s="21"/>
    </row>
    <row r="21" spans="1:10" ht="15" customHeight="1">
      <c r="A21" s="14"/>
      <c r="B21" s="18"/>
      <c r="C21" s="18"/>
      <c r="D21" s="18"/>
      <c r="E21" s="22" t="s">
        <v>10</v>
      </c>
      <c r="F21" s="121">
        <f>Input!E18</f>
        <v>365</v>
      </c>
      <c r="G21" s="18"/>
      <c r="H21" s="3" t="s">
        <v>118</v>
      </c>
      <c r="I21" s="18"/>
      <c r="J21" s="21"/>
    </row>
    <row r="22" spans="1:10" ht="15" customHeight="1">
      <c r="A22" s="14"/>
      <c r="B22" s="18"/>
      <c r="C22" s="18"/>
      <c r="D22" s="18"/>
      <c r="E22" s="23" t="s">
        <v>10</v>
      </c>
      <c r="F22" s="122">
        <f>Input!E19</f>
        <v>24</v>
      </c>
      <c r="G22" s="18"/>
      <c r="H22" s="73" t="s">
        <v>119</v>
      </c>
      <c r="I22" s="18"/>
      <c r="J22" s="21"/>
    </row>
    <row r="23" spans="1:10" ht="15" customHeight="1">
      <c r="A23" s="14"/>
      <c r="B23" s="18"/>
      <c r="C23" s="18"/>
      <c r="D23" s="19" t="s">
        <v>13</v>
      </c>
      <c r="E23" s="19" t="s">
        <v>12</v>
      </c>
      <c r="F23" s="72">
        <f>SUM(F19*F20*F21*F22)</f>
        <v>4272.7776</v>
      </c>
      <c r="G23" s="19"/>
      <c r="H23" s="19" t="s">
        <v>121</v>
      </c>
      <c r="I23" s="18"/>
      <c r="J23" s="21"/>
    </row>
    <row r="24" spans="1:10" ht="15" customHeight="1">
      <c r="A24" s="14"/>
      <c r="B24" s="18"/>
      <c r="C24" s="18"/>
      <c r="D24" s="19"/>
      <c r="E24" s="19"/>
      <c r="F24" s="72"/>
      <c r="G24" s="19"/>
      <c r="H24" s="19"/>
      <c r="I24" s="18"/>
      <c r="J24" s="38"/>
    </row>
    <row r="25" spans="1:10" ht="15" customHeight="1">
      <c r="A25" s="14"/>
      <c r="C25" s="19" t="s">
        <v>179</v>
      </c>
      <c r="D25" s="18"/>
      <c r="E25" s="18"/>
      <c r="F25" s="18"/>
      <c r="G25" s="18"/>
      <c r="H25" s="18"/>
      <c r="I25" s="18"/>
      <c r="J25" s="18"/>
    </row>
    <row r="26" spans="1:10" ht="15" customHeight="1">
      <c r="A26" s="14"/>
      <c r="B26" s="18"/>
      <c r="C26" s="18"/>
      <c r="D26" s="18"/>
      <c r="E26" s="18"/>
      <c r="F26" s="119">
        <f>Input!E15</f>
        <v>3.5</v>
      </c>
      <c r="G26" s="18"/>
      <c r="H26" s="3" t="s">
        <v>116</v>
      </c>
      <c r="I26" s="18"/>
      <c r="J26" s="21"/>
    </row>
    <row r="27" spans="1:10" ht="15" customHeight="1">
      <c r="A27" s="14"/>
      <c r="B27" s="18"/>
      <c r="C27" s="18"/>
      <c r="D27" s="18"/>
      <c r="E27" s="22" t="s">
        <v>10</v>
      </c>
      <c r="F27" s="174">
        <f>Input!E16/100</f>
        <v>0.34840000000000004</v>
      </c>
      <c r="G27" s="18"/>
      <c r="H27" s="3" t="s">
        <v>117</v>
      </c>
      <c r="I27" s="18"/>
      <c r="J27" s="21"/>
    </row>
    <row r="28" spans="1:10" ht="15" customHeight="1">
      <c r="A28" s="14"/>
      <c r="B28" s="18"/>
      <c r="C28" s="18"/>
      <c r="D28" s="18"/>
      <c r="E28" s="22" t="s">
        <v>10</v>
      </c>
      <c r="F28" s="121">
        <f>Input!E18</f>
        <v>365</v>
      </c>
      <c r="G28" s="18"/>
      <c r="H28" s="3" t="s">
        <v>118</v>
      </c>
      <c r="I28" s="18"/>
      <c r="J28" s="21"/>
    </row>
    <row r="29" spans="1:10" ht="15" customHeight="1">
      <c r="A29" s="14"/>
      <c r="B29" s="18"/>
      <c r="C29" s="18"/>
      <c r="D29" s="18"/>
      <c r="E29" s="23" t="s">
        <v>10</v>
      </c>
      <c r="F29" s="173">
        <f>Input!E19</f>
        <v>24</v>
      </c>
      <c r="G29" s="18"/>
      <c r="H29" s="73" t="s">
        <v>119</v>
      </c>
      <c r="I29" s="18"/>
      <c r="J29" s="21"/>
    </row>
    <row r="30" spans="1:10" ht="15" customHeight="1">
      <c r="A30" s="14"/>
      <c r="B30" s="18"/>
      <c r="C30" s="18"/>
      <c r="D30" s="19" t="s">
        <v>13</v>
      </c>
      <c r="E30" s="19" t="s">
        <v>12</v>
      </c>
      <c r="F30" s="72">
        <f>SUM(F26*F27*F28*F29)</f>
        <v>10681.944000000001</v>
      </c>
      <c r="G30" s="19"/>
      <c r="H30" s="19" t="s">
        <v>121</v>
      </c>
      <c r="I30" s="18"/>
      <c r="J30" s="21"/>
    </row>
    <row r="31" spans="1:10" ht="15" customHeight="1">
      <c r="A31" s="14"/>
      <c r="B31" s="18"/>
      <c r="C31" s="18"/>
      <c r="D31" s="19"/>
      <c r="E31" s="19"/>
      <c r="F31" s="72"/>
      <c r="G31" s="19"/>
      <c r="H31" s="19"/>
      <c r="I31" s="18"/>
      <c r="J31" s="38"/>
    </row>
    <row r="32" spans="1:10" ht="15" customHeight="1">
      <c r="A32" s="14"/>
      <c r="C32" s="19" t="s">
        <v>210</v>
      </c>
      <c r="D32" s="18"/>
      <c r="E32" s="18"/>
      <c r="F32" s="18"/>
      <c r="G32" s="18"/>
      <c r="H32" s="18"/>
      <c r="I32" s="18"/>
      <c r="J32" s="18"/>
    </row>
    <row r="33" spans="1:10" ht="15" customHeight="1">
      <c r="A33" s="14"/>
      <c r="B33" s="18"/>
      <c r="C33" s="18"/>
      <c r="D33" s="18"/>
      <c r="F33" s="120">
        <f>F19</f>
        <v>0.13936</v>
      </c>
      <c r="G33" s="18"/>
      <c r="H33" s="3" t="s">
        <v>117</v>
      </c>
      <c r="I33" s="18"/>
      <c r="J33" s="21"/>
    </row>
    <row r="34" spans="1:10" ht="15" customHeight="1">
      <c r="A34" s="14"/>
      <c r="B34" s="18"/>
      <c r="C34" s="18"/>
      <c r="D34" s="18"/>
      <c r="E34" s="23" t="s">
        <v>10</v>
      </c>
      <c r="F34" s="143">
        <f>Input!E15</f>
        <v>3.5</v>
      </c>
      <c r="G34" s="35"/>
      <c r="H34" s="35" t="s">
        <v>116</v>
      </c>
      <c r="I34" s="18"/>
      <c r="J34" s="21"/>
    </row>
    <row r="35" spans="1:10" ht="15" customHeight="1">
      <c r="A35" s="14"/>
      <c r="B35" s="18"/>
      <c r="C35" s="18"/>
      <c r="D35" s="22"/>
      <c r="E35" s="22" t="s">
        <v>12</v>
      </c>
      <c r="F35" s="144">
        <f>SUM(F33*F34)</f>
        <v>0.48776</v>
      </c>
      <c r="G35" s="22"/>
      <c r="H35" s="22" t="s">
        <v>168</v>
      </c>
      <c r="I35" s="18"/>
      <c r="J35" s="21"/>
    </row>
    <row r="36" spans="1:10" ht="15" customHeight="1">
      <c r="A36" s="14"/>
      <c r="B36" s="18"/>
      <c r="C36" s="18"/>
      <c r="D36" s="22"/>
      <c r="E36" s="22"/>
      <c r="F36" s="141"/>
      <c r="G36" s="22"/>
      <c r="H36" s="22"/>
      <c r="I36" s="18"/>
      <c r="J36" s="38"/>
    </row>
    <row r="37" spans="1:10" ht="15" customHeight="1">
      <c r="A37" s="14"/>
      <c r="B37" s="18"/>
      <c r="C37" s="18"/>
      <c r="D37" s="22"/>
      <c r="E37" s="22"/>
      <c r="F37" s="142">
        <f>H101</f>
        <v>30000</v>
      </c>
      <c r="G37" s="22"/>
      <c r="H37" s="22" t="s">
        <v>167</v>
      </c>
      <c r="I37" s="18"/>
      <c r="J37" s="21"/>
    </row>
    <row r="38" spans="1:10" ht="15" customHeight="1">
      <c r="A38" s="14"/>
      <c r="B38" s="18"/>
      <c r="C38" s="18"/>
      <c r="D38" s="22"/>
      <c r="E38" s="35" t="s">
        <v>11</v>
      </c>
      <c r="F38" s="145">
        <f>F35</f>
        <v>0.48776</v>
      </c>
      <c r="G38" s="23"/>
      <c r="H38" s="23" t="s">
        <v>168</v>
      </c>
      <c r="I38" s="18"/>
      <c r="J38" s="38"/>
    </row>
    <row r="39" spans="1:10" ht="15" customHeight="1">
      <c r="A39" s="14"/>
      <c r="B39" s="18"/>
      <c r="C39" s="18"/>
      <c r="D39" s="19" t="s">
        <v>13</v>
      </c>
      <c r="E39" s="19" t="s">
        <v>12</v>
      </c>
      <c r="F39" s="71">
        <f>ROUND(F37/F38,0)</f>
        <v>61506</v>
      </c>
      <c r="G39" s="19"/>
      <c r="H39" s="19" t="s">
        <v>169</v>
      </c>
      <c r="I39" s="18"/>
      <c r="J39" s="25"/>
    </row>
    <row r="40" spans="1:10" ht="15" customHeight="1">
      <c r="A40" s="14"/>
      <c r="B40" s="18"/>
      <c r="C40" s="18"/>
      <c r="D40" s="19"/>
      <c r="E40" s="19"/>
      <c r="F40" s="71"/>
      <c r="G40" s="19"/>
      <c r="H40" s="19"/>
      <c r="I40" s="18"/>
      <c r="J40" s="25"/>
    </row>
    <row r="41" spans="1:10" ht="15" customHeight="1">
      <c r="A41" s="14"/>
      <c r="C41" s="19" t="s">
        <v>209</v>
      </c>
      <c r="D41" s="18"/>
      <c r="E41" s="18"/>
      <c r="F41" s="18"/>
      <c r="G41" s="18"/>
      <c r="H41" s="18"/>
      <c r="I41" s="18"/>
      <c r="J41" s="18"/>
    </row>
    <row r="42" spans="1:10" ht="15" customHeight="1">
      <c r="A42" s="14"/>
      <c r="B42" s="18"/>
      <c r="C42" s="18"/>
      <c r="D42" s="18"/>
      <c r="F42" s="120">
        <f>Input!E16/100</f>
        <v>0.34840000000000004</v>
      </c>
      <c r="G42" s="18"/>
      <c r="H42" s="3" t="s">
        <v>117</v>
      </c>
      <c r="I42" s="18"/>
      <c r="J42" s="21"/>
    </row>
    <row r="43" spans="1:10" ht="15" customHeight="1">
      <c r="A43" s="14"/>
      <c r="B43" s="18"/>
      <c r="C43" s="18"/>
      <c r="D43" s="18"/>
      <c r="E43" s="23" t="s">
        <v>10</v>
      </c>
      <c r="F43" s="143">
        <f>Input!E15</f>
        <v>3.5</v>
      </c>
      <c r="G43" s="35"/>
      <c r="H43" s="35" t="s">
        <v>116</v>
      </c>
      <c r="I43" s="18"/>
      <c r="J43" s="21"/>
    </row>
    <row r="44" spans="1:10" ht="15" customHeight="1">
      <c r="A44" s="14"/>
      <c r="B44" s="18"/>
      <c r="C44" s="18"/>
      <c r="D44" s="22"/>
      <c r="E44" s="22" t="s">
        <v>12</v>
      </c>
      <c r="F44" s="144">
        <f>SUM(F42*F43)</f>
        <v>1.2194000000000003</v>
      </c>
      <c r="G44" s="22"/>
      <c r="H44" s="22" t="s">
        <v>168</v>
      </c>
      <c r="I44" s="18"/>
      <c r="J44" s="21"/>
    </row>
    <row r="45" spans="1:10" ht="15" customHeight="1">
      <c r="A45" s="14"/>
      <c r="B45" s="18"/>
      <c r="C45" s="18"/>
      <c r="D45" s="22"/>
      <c r="E45" s="22"/>
      <c r="F45" s="141"/>
      <c r="G45" s="22"/>
      <c r="H45" s="22"/>
      <c r="I45" s="18"/>
      <c r="J45" s="38"/>
    </row>
    <row r="46" spans="1:10" ht="15" customHeight="1">
      <c r="A46" s="14"/>
      <c r="B46" s="18"/>
      <c r="C46" s="18"/>
      <c r="D46" s="22"/>
      <c r="E46" s="22"/>
      <c r="F46" s="142">
        <f>H101</f>
        <v>30000</v>
      </c>
      <c r="G46" s="22"/>
      <c r="H46" s="22" t="s">
        <v>167</v>
      </c>
      <c r="I46" s="18"/>
      <c r="J46" s="21"/>
    </row>
    <row r="47" spans="1:10" ht="15" customHeight="1">
      <c r="A47" s="14"/>
      <c r="B47" s="18"/>
      <c r="C47" s="18"/>
      <c r="D47" s="22"/>
      <c r="E47" s="35" t="s">
        <v>11</v>
      </c>
      <c r="F47" s="145">
        <f>F44</f>
        <v>1.2194000000000003</v>
      </c>
      <c r="G47" s="23"/>
      <c r="H47" s="23" t="s">
        <v>168</v>
      </c>
      <c r="I47" s="18"/>
      <c r="J47" s="38"/>
    </row>
    <row r="48" spans="1:10" ht="15" customHeight="1">
      <c r="A48" s="14"/>
      <c r="B48" s="18"/>
      <c r="C48" s="18"/>
      <c r="D48" s="19" t="s">
        <v>13</v>
      </c>
      <c r="E48" s="19" t="s">
        <v>12</v>
      </c>
      <c r="F48" s="71">
        <f>ROUND(F46/F47,0)</f>
        <v>24602</v>
      </c>
      <c r="G48" s="19"/>
      <c r="H48" s="19" t="s">
        <v>169</v>
      </c>
      <c r="I48" s="18"/>
      <c r="J48" s="25"/>
    </row>
    <row r="49" spans="1:10" ht="15" customHeight="1">
      <c r="A49" s="14"/>
      <c r="B49" s="18"/>
      <c r="C49" s="18"/>
      <c r="D49" s="19"/>
      <c r="E49" s="19"/>
      <c r="F49" s="71"/>
      <c r="G49" s="19"/>
      <c r="H49" s="19"/>
      <c r="I49" s="18"/>
      <c r="J49" s="25"/>
    </row>
    <row r="50" spans="1:10" ht="15" customHeight="1">
      <c r="A50" s="16"/>
      <c r="B50" s="4" t="s">
        <v>125</v>
      </c>
      <c r="C50" s="18"/>
      <c r="D50" s="18"/>
      <c r="E50" s="18"/>
      <c r="F50" s="18"/>
      <c r="G50" s="18"/>
      <c r="H50" s="18"/>
      <c r="I50" s="18"/>
      <c r="J50" s="18"/>
    </row>
    <row r="51" spans="1:10" ht="15" customHeight="1">
      <c r="A51" s="14"/>
      <c r="C51" s="19" t="s">
        <v>128</v>
      </c>
      <c r="D51" s="18"/>
      <c r="E51" s="18"/>
      <c r="F51" s="18"/>
      <c r="G51" s="18"/>
      <c r="H51" s="18"/>
      <c r="I51" s="18"/>
      <c r="J51" s="18"/>
    </row>
    <row r="52" spans="1:10" ht="15" customHeight="1">
      <c r="A52" s="14"/>
      <c r="B52" s="18"/>
      <c r="C52" s="18"/>
      <c r="D52" s="18"/>
      <c r="E52" s="18"/>
      <c r="F52" s="42">
        <f>H88</f>
        <v>8500</v>
      </c>
      <c r="G52" s="18"/>
      <c r="H52" s="18" t="s">
        <v>76</v>
      </c>
      <c r="I52" s="18"/>
      <c r="J52" s="21"/>
    </row>
    <row r="53" spans="1:10" ht="15" customHeight="1">
      <c r="A53" s="14"/>
      <c r="B53" s="18"/>
      <c r="C53" s="18"/>
      <c r="D53" s="18"/>
      <c r="E53" s="23" t="s">
        <v>15</v>
      </c>
      <c r="F53" s="94">
        <f>H95</f>
        <v>21500</v>
      </c>
      <c r="G53" s="22"/>
      <c r="H53" s="23" t="s">
        <v>77</v>
      </c>
      <c r="I53" s="18"/>
      <c r="J53" s="21"/>
    </row>
    <row r="54" spans="1:10" ht="15" customHeight="1">
      <c r="A54" s="14"/>
      <c r="B54" s="18"/>
      <c r="C54" s="18"/>
      <c r="D54" s="18"/>
      <c r="E54" s="18" t="s">
        <v>12</v>
      </c>
      <c r="F54" s="42">
        <f>SUM(F52:F53)</f>
        <v>30000</v>
      </c>
      <c r="G54" s="18"/>
      <c r="H54" s="18" t="s">
        <v>78</v>
      </c>
      <c r="I54" s="18"/>
      <c r="J54" s="21"/>
    </row>
    <row r="55" spans="1:10" ht="15" customHeight="1">
      <c r="A55" s="14"/>
      <c r="B55" s="18"/>
      <c r="C55" s="18"/>
      <c r="D55" s="18"/>
      <c r="E55" s="23" t="s">
        <v>10</v>
      </c>
      <c r="F55" s="88">
        <f>Input!E27/100</f>
        <v>0.0025</v>
      </c>
      <c r="G55" s="18"/>
      <c r="H55" s="35" t="s">
        <v>82</v>
      </c>
      <c r="I55" s="18"/>
      <c r="J55" s="21"/>
    </row>
    <row r="56" spans="1:10" ht="15" customHeight="1">
      <c r="A56" s="14"/>
      <c r="B56" s="18"/>
      <c r="C56" s="18"/>
      <c r="D56" s="18"/>
      <c r="E56" s="19" t="s">
        <v>12</v>
      </c>
      <c r="F56" s="11">
        <f>SUM(F54*F55)</f>
        <v>75</v>
      </c>
      <c r="G56" s="18"/>
      <c r="H56" s="19" t="s">
        <v>79</v>
      </c>
      <c r="I56" s="18"/>
      <c r="J56" s="21"/>
    </row>
    <row r="57" spans="1:10" ht="15" customHeight="1">
      <c r="A57" s="14"/>
      <c r="B57" s="18"/>
      <c r="C57" s="18"/>
      <c r="D57" s="18"/>
      <c r="E57" s="18"/>
      <c r="F57" s="18"/>
      <c r="G57" s="18"/>
      <c r="H57" s="18"/>
      <c r="I57" s="18"/>
      <c r="J57" s="18"/>
    </row>
    <row r="58" spans="1:10" ht="15" customHeight="1">
      <c r="A58" s="14"/>
      <c r="C58" s="19" t="s">
        <v>129</v>
      </c>
      <c r="D58" s="18"/>
      <c r="E58" s="18"/>
      <c r="F58" s="18"/>
      <c r="G58" s="18"/>
      <c r="H58" s="18"/>
      <c r="I58" s="18"/>
      <c r="J58" s="18"/>
    </row>
    <row r="59" spans="1:10" ht="15" customHeight="1">
      <c r="A59" s="14"/>
      <c r="B59" s="18"/>
      <c r="C59" s="18"/>
      <c r="D59" s="18"/>
      <c r="E59" s="18"/>
      <c r="F59" s="89">
        <f>Input!E30</f>
        <v>0</v>
      </c>
      <c r="G59" s="18"/>
      <c r="H59" s="18" t="s">
        <v>80</v>
      </c>
      <c r="I59" s="18"/>
      <c r="J59" s="38"/>
    </row>
    <row r="60" spans="1:10" ht="15" customHeight="1">
      <c r="A60" s="14"/>
      <c r="B60" s="18"/>
      <c r="C60" s="18"/>
      <c r="D60" s="18"/>
      <c r="E60" s="18"/>
      <c r="F60" s="18"/>
      <c r="G60" s="18"/>
      <c r="H60" s="18"/>
      <c r="I60" s="18"/>
      <c r="J60" s="18"/>
    </row>
    <row r="61" spans="1:10" ht="15" customHeight="1">
      <c r="A61" s="14"/>
      <c r="C61" s="19" t="s">
        <v>130</v>
      </c>
      <c r="D61" s="18"/>
      <c r="E61" s="18"/>
      <c r="F61" s="18"/>
      <c r="G61" s="18"/>
      <c r="H61" s="18"/>
      <c r="I61" s="18"/>
      <c r="J61" s="18"/>
    </row>
    <row r="62" spans="1:10" ht="15" customHeight="1">
      <c r="A62" s="14"/>
      <c r="B62" s="18"/>
      <c r="C62" s="18"/>
      <c r="D62" s="18"/>
      <c r="E62" s="18"/>
      <c r="F62" s="42">
        <f>H88</f>
        <v>8500</v>
      </c>
      <c r="G62" s="18"/>
      <c r="H62" s="18" t="s">
        <v>76</v>
      </c>
      <c r="I62" s="18"/>
      <c r="J62" s="21"/>
    </row>
    <row r="63" spans="1:10" ht="15" customHeight="1">
      <c r="A63" s="14"/>
      <c r="B63" s="18"/>
      <c r="C63" s="18"/>
      <c r="D63" s="18"/>
      <c r="E63" s="23" t="s">
        <v>15</v>
      </c>
      <c r="F63" s="94">
        <f>H95</f>
        <v>21500</v>
      </c>
      <c r="G63" s="22"/>
      <c r="H63" s="23" t="s">
        <v>77</v>
      </c>
      <c r="I63" s="18"/>
      <c r="J63" s="21"/>
    </row>
    <row r="64" spans="1:10" ht="15" customHeight="1">
      <c r="A64" s="14"/>
      <c r="B64" s="18"/>
      <c r="C64" s="18"/>
      <c r="D64" s="18"/>
      <c r="E64" s="18" t="s">
        <v>12</v>
      </c>
      <c r="F64" s="42">
        <f>SUM(F62:F63)</f>
        <v>30000</v>
      </c>
      <c r="G64" s="18"/>
      <c r="H64" s="18" t="s">
        <v>78</v>
      </c>
      <c r="I64" s="18"/>
      <c r="J64" s="21"/>
    </row>
    <row r="65" spans="1:10" ht="15" customHeight="1">
      <c r="A65" s="14"/>
      <c r="B65" s="18"/>
      <c r="C65" s="18"/>
      <c r="D65" s="18"/>
      <c r="E65" s="23" t="s">
        <v>10</v>
      </c>
      <c r="F65" s="88">
        <f>Input!E31/100</f>
        <v>0.005</v>
      </c>
      <c r="G65" s="18"/>
      <c r="H65" s="35" t="s">
        <v>81</v>
      </c>
      <c r="I65" s="18"/>
      <c r="J65" s="21"/>
    </row>
    <row r="66" spans="1:10" ht="15" customHeight="1">
      <c r="A66" s="14"/>
      <c r="B66" s="18"/>
      <c r="C66" s="18"/>
      <c r="D66" s="18"/>
      <c r="E66" s="19" t="s">
        <v>12</v>
      </c>
      <c r="F66" s="11">
        <f>SUM(F64*F65)</f>
        <v>150</v>
      </c>
      <c r="G66" s="18"/>
      <c r="H66" s="19" t="s">
        <v>83</v>
      </c>
      <c r="I66" s="18"/>
      <c r="J66" s="21"/>
    </row>
    <row r="67" spans="1:10" ht="15" customHeight="1">
      <c r="A67" s="14"/>
      <c r="B67" s="18"/>
      <c r="C67" s="18"/>
      <c r="D67" s="18"/>
      <c r="E67" s="18"/>
      <c r="F67" s="18"/>
      <c r="G67" s="18"/>
      <c r="H67" s="18"/>
      <c r="I67" s="18"/>
      <c r="J67" s="18"/>
    </row>
    <row r="68" spans="1:10" ht="15" customHeight="1">
      <c r="A68" s="14"/>
      <c r="C68" s="19" t="s">
        <v>131</v>
      </c>
      <c r="D68" s="18"/>
      <c r="E68" s="18"/>
      <c r="F68" s="18"/>
      <c r="G68" s="18"/>
      <c r="H68" s="18"/>
      <c r="I68" s="18"/>
      <c r="J68" s="18"/>
    </row>
    <row r="69" spans="1:10" ht="15" customHeight="1">
      <c r="A69" s="14"/>
      <c r="B69" s="18"/>
      <c r="C69" s="18"/>
      <c r="D69" s="18"/>
      <c r="E69" s="18"/>
      <c r="F69" s="42">
        <f>H88</f>
        <v>8500</v>
      </c>
      <c r="G69" s="18"/>
      <c r="H69" s="18" t="s">
        <v>76</v>
      </c>
      <c r="I69" s="18"/>
      <c r="J69" s="21"/>
    </row>
    <row r="70" spans="1:10" ht="15" customHeight="1">
      <c r="A70" s="14"/>
      <c r="B70" s="18"/>
      <c r="C70" s="18"/>
      <c r="D70" s="18"/>
      <c r="E70" s="23" t="s">
        <v>15</v>
      </c>
      <c r="F70" s="94">
        <f>H99</f>
        <v>0</v>
      </c>
      <c r="G70" s="22"/>
      <c r="H70" s="23" t="s">
        <v>84</v>
      </c>
      <c r="I70" s="18"/>
      <c r="J70" s="21"/>
    </row>
    <row r="71" spans="1:10" ht="15" customHeight="1">
      <c r="A71" s="14"/>
      <c r="B71" s="18"/>
      <c r="C71" s="18"/>
      <c r="D71" s="18"/>
      <c r="E71" s="18" t="s">
        <v>12</v>
      </c>
      <c r="F71" s="42">
        <f>SUM(F69:F70)</f>
        <v>8500</v>
      </c>
      <c r="G71" s="18"/>
      <c r="H71" s="18" t="s">
        <v>85</v>
      </c>
      <c r="I71" s="18"/>
      <c r="J71" s="21"/>
    </row>
    <row r="72" spans="1:10" ht="15" customHeight="1">
      <c r="A72" s="14"/>
      <c r="B72" s="18"/>
      <c r="C72" s="18"/>
      <c r="D72" s="18"/>
      <c r="E72" s="23" t="s">
        <v>10</v>
      </c>
      <c r="F72" s="88">
        <f>Input!E32/100</f>
        <v>0</v>
      </c>
      <c r="G72" s="18"/>
      <c r="H72" s="35" t="s">
        <v>86</v>
      </c>
      <c r="I72" s="18"/>
      <c r="J72" s="21"/>
    </row>
    <row r="73" spans="1:10" ht="15" customHeight="1">
      <c r="A73" s="14"/>
      <c r="B73" s="18"/>
      <c r="C73" s="18"/>
      <c r="D73" s="18"/>
      <c r="E73" s="19" t="s">
        <v>12</v>
      </c>
      <c r="F73" s="11">
        <f>SUM(F71*F72)</f>
        <v>0</v>
      </c>
      <c r="G73" s="18"/>
      <c r="H73" s="19" t="s">
        <v>87</v>
      </c>
      <c r="I73" s="18"/>
      <c r="J73" s="21"/>
    </row>
    <row r="74" spans="1:10" ht="15" customHeight="1">
      <c r="A74" s="14"/>
      <c r="B74" s="18"/>
      <c r="C74" s="18"/>
      <c r="D74" s="18"/>
      <c r="E74" s="18"/>
      <c r="F74" s="18"/>
      <c r="G74" s="18"/>
      <c r="H74" s="18"/>
      <c r="I74" s="18"/>
      <c r="J74" s="18"/>
    </row>
    <row r="75" spans="1:10" ht="15" customHeight="1">
      <c r="A75" s="14"/>
      <c r="C75" s="19" t="s">
        <v>132</v>
      </c>
      <c r="D75" s="18"/>
      <c r="E75" s="18"/>
      <c r="F75" s="18"/>
      <c r="G75" s="18"/>
      <c r="H75" s="18"/>
      <c r="I75" s="18"/>
      <c r="J75" s="18"/>
    </row>
    <row r="76" spans="1:10" ht="15" customHeight="1">
      <c r="A76" s="14"/>
      <c r="B76" s="18"/>
      <c r="C76" s="18" t="s">
        <v>44</v>
      </c>
      <c r="D76" s="18"/>
      <c r="E76" s="18"/>
      <c r="F76" s="18"/>
      <c r="G76" s="18"/>
      <c r="H76" s="18"/>
      <c r="I76" s="18"/>
      <c r="J76" s="18"/>
    </row>
    <row r="77" spans="1:10" ht="15" customHeight="1">
      <c r="A77" s="14"/>
      <c r="D77" s="18"/>
      <c r="E77" s="18"/>
      <c r="F77" s="18"/>
      <c r="G77" s="18"/>
      <c r="H77" s="18"/>
      <c r="I77" s="18"/>
      <c r="J77" s="18"/>
    </row>
    <row r="78" spans="1:10" ht="15" customHeight="1">
      <c r="A78" s="14"/>
      <c r="B78" s="18"/>
      <c r="C78" s="18"/>
      <c r="D78" s="18"/>
      <c r="E78" s="18"/>
      <c r="F78" s="42">
        <f>Summary!I17</f>
        <v>225</v>
      </c>
      <c r="G78" s="18"/>
      <c r="H78" s="18" t="s">
        <v>33</v>
      </c>
      <c r="I78" s="18"/>
      <c r="J78" s="21"/>
    </row>
    <row r="79" spans="1:10" ht="15" customHeight="1">
      <c r="A79" s="14"/>
      <c r="B79" s="18"/>
      <c r="C79" s="18"/>
      <c r="D79" s="18"/>
      <c r="E79" s="18" t="s">
        <v>11</v>
      </c>
      <c r="F79" s="59">
        <v>2</v>
      </c>
      <c r="G79" s="18"/>
      <c r="H79" s="18" t="s">
        <v>27</v>
      </c>
      <c r="I79" s="18"/>
      <c r="J79" s="21"/>
    </row>
    <row r="80" spans="1:10" ht="15" customHeight="1">
      <c r="A80" s="14"/>
      <c r="B80" s="18"/>
      <c r="C80" s="18"/>
      <c r="D80" s="18"/>
      <c r="E80" s="23" t="s">
        <v>10</v>
      </c>
      <c r="F80" s="60">
        <f>Input!E35</f>
        <v>5.5</v>
      </c>
      <c r="G80" s="22"/>
      <c r="H80" s="23" t="s">
        <v>89</v>
      </c>
      <c r="I80" s="18"/>
      <c r="J80" s="21"/>
    </row>
    <row r="81" spans="1:10" ht="15" customHeight="1">
      <c r="A81" s="14"/>
      <c r="B81" s="18"/>
      <c r="C81" s="18"/>
      <c r="D81" s="18"/>
      <c r="E81" s="19" t="s">
        <v>12</v>
      </c>
      <c r="F81" s="71">
        <f>ROUND((F78/F79)*(F80),2)/100</f>
        <v>6.1875</v>
      </c>
      <c r="G81" s="19"/>
      <c r="H81" s="19" t="s">
        <v>88</v>
      </c>
      <c r="I81" s="18"/>
      <c r="J81" s="21"/>
    </row>
    <row r="82" spans="1:10" ht="15" customHeight="1">
      <c r="A82" s="14"/>
      <c r="B82" s="18"/>
      <c r="C82" s="18"/>
      <c r="D82" s="18"/>
      <c r="E82" s="18"/>
      <c r="F82" s="18"/>
      <c r="G82" s="18"/>
      <c r="H82" s="18"/>
      <c r="I82" s="18"/>
      <c r="J82" s="18"/>
    </row>
    <row r="83" spans="1:10" ht="18.75" customHeight="1">
      <c r="A83" s="14"/>
      <c r="B83" s="214" t="s">
        <v>29</v>
      </c>
      <c r="C83" s="215"/>
      <c r="D83" s="215"/>
      <c r="E83" s="215"/>
      <c r="F83" s="215"/>
      <c r="G83" s="215"/>
      <c r="H83" s="215"/>
      <c r="I83" s="215"/>
      <c r="J83" s="215"/>
    </row>
    <row r="84" spans="1:10" ht="15" customHeight="1">
      <c r="A84" s="14"/>
      <c r="B84" s="18"/>
      <c r="C84" s="18"/>
      <c r="D84" s="18"/>
      <c r="E84" s="18"/>
      <c r="F84" s="18"/>
      <c r="G84" s="18"/>
      <c r="H84" s="18"/>
      <c r="I84" s="18"/>
      <c r="J84" s="18"/>
    </row>
    <row r="85" spans="1:10" ht="15" customHeight="1">
      <c r="A85" s="14"/>
      <c r="B85" s="4" t="s">
        <v>91</v>
      </c>
      <c r="C85" s="4"/>
      <c r="D85" s="18"/>
      <c r="E85" s="18"/>
      <c r="F85" s="18"/>
      <c r="G85" s="18"/>
      <c r="H85" s="18"/>
      <c r="I85" s="18"/>
      <c r="J85" s="18"/>
    </row>
    <row r="86" spans="1:10" ht="15" customHeight="1">
      <c r="A86" s="14"/>
      <c r="B86" s="18" t="s">
        <v>163</v>
      </c>
      <c r="C86" s="35"/>
      <c r="D86" s="18"/>
      <c r="E86" s="18"/>
      <c r="F86" s="26"/>
      <c r="G86" s="18"/>
      <c r="H86" s="140">
        <f>Input!D42</f>
        <v>6000</v>
      </c>
      <c r="J86" s="21"/>
    </row>
    <row r="87" spans="1:10" ht="15" customHeight="1">
      <c r="A87" s="14"/>
      <c r="B87" s="18" t="s">
        <v>164</v>
      </c>
      <c r="C87" s="35"/>
      <c r="D87" s="18"/>
      <c r="E87" s="18"/>
      <c r="F87" s="26"/>
      <c r="G87" s="18"/>
      <c r="H87" s="46">
        <f>Input!D43</f>
        <v>2500</v>
      </c>
      <c r="J87" s="21"/>
    </row>
    <row r="88" spans="1:10" ht="15" customHeight="1">
      <c r="A88" s="14"/>
      <c r="B88" s="4" t="s">
        <v>1</v>
      </c>
      <c r="C88" s="4"/>
      <c r="D88" s="18"/>
      <c r="E88" s="18"/>
      <c r="F88" s="26"/>
      <c r="G88" s="18"/>
      <c r="H88" s="43">
        <f>SUM(H86:H87)</f>
        <v>8500</v>
      </c>
      <c r="J88" s="21"/>
    </row>
    <row r="89" spans="1:10" ht="15" customHeight="1">
      <c r="A89" s="14"/>
      <c r="B89" s="18"/>
      <c r="C89" s="18"/>
      <c r="D89" s="18"/>
      <c r="E89" s="18"/>
      <c r="F89" s="26"/>
      <c r="G89" s="18"/>
      <c r="H89" s="27"/>
      <c r="I89" s="18"/>
      <c r="J89" s="18"/>
    </row>
    <row r="90" spans="1:10" ht="15" customHeight="1">
      <c r="A90" s="14"/>
      <c r="B90" s="4" t="s">
        <v>18</v>
      </c>
      <c r="C90" s="4"/>
      <c r="D90" s="18"/>
      <c r="E90" s="18"/>
      <c r="F90" s="26"/>
      <c r="G90" s="18"/>
      <c r="H90" s="27"/>
      <c r="I90" s="18"/>
      <c r="J90" s="18"/>
    </row>
    <row r="91" spans="1:10" ht="15" customHeight="1">
      <c r="A91" s="14"/>
      <c r="B91" s="3" t="s">
        <v>138</v>
      </c>
      <c r="C91" s="18"/>
      <c r="D91" s="18"/>
      <c r="E91" s="18"/>
      <c r="F91" s="26"/>
      <c r="G91" s="18"/>
      <c r="H91" s="45">
        <f>Input!D47</f>
        <v>20000</v>
      </c>
      <c r="J91" s="21"/>
    </row>
    <row r="92" spans="1:10" ht="15" customHeight="1">
      <c r="A92" s="14"/>
      <c r="B92" s="18" t="s">
        <v>165</v>
      </c>
      <c r="C92" s="18"/>
      <c r="D92" s="18"/>
      <c r="E92" s="18"/>
      <c r="F92" s="26"/>
      <c r="G92" s="18"/>
      <c r="H92" s="45">
        <f>Input!D48</f>
        <v>200</v>
      </c>
      <c r="J92" s="21"/>
    </row>
    <row r="93" spans="1:10" ht="15" customHeight="1">
      <c r="A93" s="14"/>
      <c r="B93" s="18" t="s">
        <v>166</v>
      </c>
      <c r="C93" s="18"/>
      <c r="D93" s="18"/>
      <c r="E93" s="18"/>
      <c r="F93" s="26"/>
      <c r="G93" s="18"/>
      <c r="H93" s="140">
        <f>Input!D49</f>
        <v>1300</v>
      </c>
      <c r="J93" s="21"/>
    </row>
    <row r="94" spans="1:10" ht="15" customHeight="1">
      <c r="A94" s="14"/>
      <c r="B94" s="18" t="s">
        <v>170</v>
      </c>
      <c r="C94" s="18"/>
      <c r="D94" s="18"/>
      <c r="E94" s="18"/>
      <c r="F94" s="26"/>
      <c r="G94" s="18"/>
      <c r="H94" s="46">
        <f>-Input!E20</f>
        <v>0</v>
      </c>
      <c r="J94" s="21"/>
    </row>
    <row r="95" spans="1:10" ht="15" customHeight="1">
      <c r="A95" s="14"/>
      <c r="B95" s="4" t="s">
        <v>2</v>
      </c>
      <c r="C95" s="18"/>
      <c r="D95" s="18"/>
      <c r="E95" s="18"/>
      <c r="F95" s="26"/>
      <c r="G95" s="18"/>
      <c r="H95" s="43">
        <f>SUM(H91:H94)</f>
        <v>21500</v>
      </c>
      <c r="J95" s="21"/>
    </row>
    <row r="96" spans="1:10" ht="15" customHeight="1">
      <c r="A96" s="14"/>
      <c r="B96" s="18"/>
      <c r="C96" s="18"/>
      <c r="D96" s="18"/>
      <c r="E96" s="18"/>
      <c r="F96" s="26"/>
      <c r="G96" s="18"/>
      <c r="H96" s="27"/>
      <c r="J96" s="18"/>
    </row>
    <row r="97" spans="1:10" ht="15" customHeight="1">
      <c r="A97" s="14"/>
      <c r="B97" s="4" t="s">
        <v>51</v>
      </c>
      <c r="C97" s="18"/>
      <c r="D97" s="18"/>
      <c r="E97" s="18"/>
      <c r="F97" s="26"/>
      <c r="G97" s="18"/>
      <c r="H97" s="43">
        <f>H88+H95</f>
        <v>30000</v>
      </c>
      <c r="J97" s="21"/>
    </row>
    <row r="98" spans="1:10" ht="15" customHeight="1">
      <c r="A98" s="14"/>
      <c r="B98" s="18"/>
      <c r="C98" s="18"/>
      <c r="D98" s="18"/>
      <c r="E98" s="18"/>
      <c r="F98" s="26"/>
      <c r="G98" s="18"/>
      <c r="H98" s="27"/>
      <c r="J98" s="18"/>
    </row>
    <row r="99" spans="1:10" ht="15" customHeight="1">
      <c r="A99" s="14"/>
      <c r="B99" s="4" t="s">
        <v>92</v>
      </c>
      <c r="C99" s="18"/>
      <c r="D99" s="18"/>
      <c r="E99" s="18"/>
      <c r="F99" s="26"/>
      <c r="G99" s="18"/>
      <c r="H99" s="43">
        <f>Input!D55</f>
        <v>0</v>
      </c>
      <c r="J99" s="21"/>
    </row>
    <row r="100" spans="1:10" ht="15" customHeight="1">
      <c r="A100" s="14"/>
      <c r="B100" s="18"/>
      <c r="C100" s="18"/>
      <c r="D100" s="18"/>
      <c r="E100" s="18"/>
      <c r="F100" s="26"/>
      <c r="G100" s="18"/>
      <c r="H100" s="27"/>
      <c r="J100" s="18"/>
    </row>
    <row r="101" spans="1:10" ht="15" customHeight="1">
      <c r="A101" s="14"/>
      <c r="B101" s="4" t="s">
        <v>52</v>
      </c>
      <c r="C101" s="18"/>
      <c r="D101" s="18"/>
      <c r="E101" s="18"/>
      <c r="F101" s="26"/>
      <c r="G101" s="18"/>
      <c r="H101" s="43">
        <f>H97+H99</f>
        <v>30000</v>
      </c>
      <c r="J101" s="21"/>
    </row>
    <row r="102" spans="1:10" ht="15" customHeight="1">
      <c r="A102" s="14"/>
      <c r="B102" s="18"/>
      <c r="C102" s="18"/>
      <c r="D102" s="18"/>
      <c r="E102" s="18"/>
      <c r="F102" s="18"/>
      <c r="G102" s="18"/>
      <c r="H102" s="27"/>
      <c r="I102" s="18"/>
      <c r="J102" s="18"/>
    </row>
    <row r="103" spans="1:10" ht="15" customHeight="1">
      <c r="A103" s="14"/>
      <c r="B103" s="18"/>
      <c r="C103" s="18"/>
      <c r="D103" s="18"/>
      <c r="E103" s="18"/>
      <c r="F103" s="18"/>
      <c r="G103" s="18"/>
      <c r="H103" s="18"/>
      <c r="I103" s="18"/>
      <c r="J103" s="18"/>
    </row>
    <row r="104" spans="1:10" ht="15" customHeight="1">
      <c r="A104" s="16"/>
      <c r="B104" s="4" t="s">
        <v>139</v>
      </c>
      <c r="C104" s="18"/>
      <c r="D104" s="18"/>
      <c r="E104" s="18"/>
      <c r="F104" s="18"/>
      <c r="G104" s="18"/>
      <c r="H104" s="18"/>
      <c r="I104" s="18"/>
      <c r="J104" s="18"/>
    </row>
    <row r="105" spans="1:10" ht="15" customHeight="1">
      <c r="A105" s="14"/>
      <c r="B105" s="19" t="s">
        <v>3</v>
      </c>
      <c r="C105" s="19"/>
      <c r="D105" s="18"/>
      <c r="E105" s="18"/>
      <c r="F105" s="221" t="s">
        <v>46</v>
      </c>
      <c r="G105" s="221"/>
      <c r="H105" s="221"/>
      <c r="I105" s="221"/>
      <c r="J105" s="18"/>
    </row>
    <row r="106" spans="1:10" ht="15" customHeight="1">
      <c r="A106" s="14"/>
      <c r="B106" s="19"/>
      <c r="C106" s="19"/>
      <c r="D106" s="18"/>
      <c r="E106" s="18"/>
      <c r="F106" s="222" t="s">
        <v>30</v>
      </c>
      <c r="G106" s="222"/>
      <c r="H106" s="222"/>
      <c r="I106" s="30"/>
      <c r="J106" s="18"/>
    </row>
    <row r="107" spans="1:10" ht="15" customHeight="1">
      <c r="A107" s="14"/>
      <c r="B107" s="19"/>
      <c r="C107" s="19"/>
      <c r="D107" s="18"/>
      <c r="E107" s="18"/>
      <c r="F107" s="30"/>
      <c r="G107" s="30"/>
      <c r="H107" s="30"/>
      <c r="I107" s="30"/>
      <c r="J107" s="18"/>
    </row>
    <row r="108" spans="1:10" ht="15" customHeight="1">
      <c r="A108" s="14"/>
      <c r="C108" s="19" t="s">
        <v>94</v>
      </c>
      <c r="D108" s="18"/>
      <c r="E108" s="18"/>
      <c r="F108" s="18"/>
      <c r="G108" s="18"/>
      <c r="H108" s="18"/>
      <c r="I108" s="18"/>
      <c r="J108" s="18"/>
    </row>
    <row r="109" spans="1:10" ht="15" customHeight="1">
      <c r="A109" s="14"/>
      <c r="B109" s="18"/>
      <c r="C109" s="18"/>
      <c r="D109" s="18"/>
      <c r="E109" s="18"/>
      <c r="F109" s="42">
        <f>H88</f>
        <v>8500</v>
      </c>
      <c r="G109" s="18"/>
      <c r="H109" s="18" t="s">
        <v>31</v>
      </c>
      <c r="I109" s="18"/>
      <c r="J109" s="21"/>
    </row>
    <row r="110" spans="1:10" ht="15" customHeight="1">
      <c r="A110" s="14"/>
      <c r="B110" s="18"/>
      <c r="C110" s="18"/>
      <c r="D110" s="18"/>
      <c r="E110" s="18" t="s">
        <v>16</v>
      </c>
      <c r="F110" s="56">
        <f>(Input!F44/100)*Input!D44</f>
        <v>2550</v>
      </c>
      <c r="G110" s="18"/>
      <c r="H110" s="18" t="s">
        <v>26</v>
      </c>
      <c r="I110" s="18"/>
      <c r="J110" s="21"/>
    </row>
    <row r="111" spans="1:10" ht="15" customHeight="1">
      <c r="A111" s="14"/>
      <c r="B111" s="18"/>
      <c r="C111" s="18"/>
      <c r="D111" s="18"/>
      <c r="E111" s="18" t="s">
        <v>11</v>
      </c>
      <c r="F111" s="61">
        <f>Input!H44</f>
        <v>30</v>
      </c>
      <c r="G111" s="18"/>
      <c r="H111" s="35" t="s">
        <v>17</v>
      </c>
      <c r="I111" s="18"/>
      <c r="J111" s="21"/>
    </row>
    <row r="112" spans="1:10" ht="15" customHeight="1">
      <c r="A112" s="14"/>
      <c r="B112" s="18"/>
      <c r="C112" s="18"/>
      <c r="D112" s="18"/>
      <c r="E112" s="19" t="s">
        <v>12</v>
      </c>
      <c r="F112" s="71">
        <f>((F109-F110)/F111)</f>
        <v>198.33333333333334</v>
      </c>
      <c r="G112" s="19"/>
      <c r="H112" s="19"/>
      <c r="I112" s="18"/>
      <c r="J112" s="21"/>
    </row>
    <row r="113" spans="1:10" ht="15" customHeight="1">
      <c r="A113" s="14"/>
      <c r="B113" s="18"/>
      <c r="C113" s="18"/>
      <c r="D113" s="18"/>
      <c r="E113" s="18"/>
      <c r="F113" s="18"/>
      <c r="G113" s="18"/>
      <c r="H113" s="18"/>
      <c r="I113" s="18"/>
      <c r="J113" s="18"/>
    </row>
    <row r="114" spans="1:10" ht="15" customHeight="1">
      <c r="A114" s="14"/>
      <c r="C114" s="19" t="s">
        <v>35</v>
      </c>
      <c r="D114" s="18"/>
      <c r="E114" s="18"/>
      <c r="F114" s="18"/>
      <c r="G114" s="18"/>
      <c r="H114" s="18"/>
      <c r="I114" s="18"/>
      <c r="J114" s="18"/>
    </row>
    <row r="115" spans="1:10" ht="15" customHeight="1">
      <c r="A115" s="14"/>
      <c r="B115" s="18"/>
      <c r="C115" s="18"/>
      <c r="D115" s="18"/>
      <c r="E115" s="18"/>
      <c r="F115" s="42">
        <f>H95</f>
        <v>21500</v>
      </c>
      <c r="G115" s="18"/>
      <c r="H115" s="18" t="s">
        <v>31</v>
      </c>
      <c r="I115" s="18"/>
      <c r="J115" s="21"/>
    </row>
    <row r="116" spans="1:10" ht="15" customHeight="1">
      <c r="A116" s="14"/>
      <c r="B116" s="18"/>
      <c r="C116" s="18"/>
      <c r="D116" s="18"/>
      <c r="E116" s="18" t="s">
        <v>16</v>
      </c>
      <c r="F116" s="56">
        <f>(Input!F51/100)*Input!D51</f>
        <v>2150</v>
      </c>
      <c r="G116" s="18"/>
      <c r="H116" s="18" t="s">
        <v>26</v>
      </c>
      <c r="I116" s="18"/>
      <c r="J116" s="21"/>
    </row>
    <row r="117" spans="1:10" ht="15" customHeight="1">
      <c r="A117" s="14"/>
      <c r="B117" s="18"/>
      <c r="C117" s="18"/>
      <c r="D117" s="18"/>
      <c r="E117" s="18" t="s">
        <v>11</v>
      </c>
      <c r="F117" s="61">
        <f>Input!H51</f>
        <v>20</v>
      </c>
      <c r="G117" s="18"/>
      <c r="H117" s="35" t="s">
        <v>17</v>
      </c>
      <c r="I117" s="18"/>
      <c r="J117" s="21"/>
    </row>
    <row r="118" spans="1:10" ht="15" customHeight="1">
      <c r="A118" s="14"/>
      <c r="B118" s="18"/>
      <c r="C118" s="18"/>
      <c r="D118" s="18"/>
      <c r="E118" s="19" t="s">
        <v>12</v>
      </c>
      <c r="F118" s="71">
        <f>((F115-F116)/F117)</f>
        <v>967.5</v>
      </c>
      <c r="G118" s="19"/>
      <c r="H118" s="19"/>
      <c r="I118" s="18"/>
      <c r="J118" s="21"/>
    </row>
    <row r="119" spans="1:10" ht="15" customHeight="1">
      <c r="A119" s="14"/>
      <c r="B119" s="18"/>
      <c r="C119" s="18"/>
      <c r="D119" s="18"/>
      <c r="E119" s="18"/>
      <c r="F119" s="18"/>
      <c r="G119" s="18"/>
      <c r="H119" s="18" t="s">
        <v>0</v>
      </c>
      <c r="I119" s="18"/>
      <c r="J119" s="18"/>
    </row>
    <row r="120" spans="1:10" ht="15" customHeight="1">
      <c r="A120" s="14"/>
      <c r="B120" s="19" t="s">
        <v>6</v>
      </c>
      <c r="C120" s="19"/>
      <c r="D120" s="18"/>
      <c r="E120" s="18"/>
      <c r="F120" s="217" t="s">
        <v>45</v>
      </c>
      <c r="G120" s="218"/>
      <c r="H120" s="218"/>
      <c r="I120" s="218"/>
      <c r="J120" s="218"/>
    </row>
    <row r="121" spans="1:10" ht="15" customHeight="1">
      <c r="A121" s="14"/>
      <c r="B121" s="19"/>
      <c r="C121" s="19"/>
      <c r="D121" s="18"/>
      <c r="E121" s="18"/>
      <c r="F121" s="28"/>
      <c r="G121" s="31" t="s">
        <v>32</v>
      </c>
      <c r="H121" s="28"/>
      <c r="I121" s="28"/>
      <c r="J121" s="75"/>
    </row>
    <row r="122" spans="1:10" ht="15" customHeight="1">
      <c r="A122" s="14"/>
      <c r="C122" s="19" t="s">
        <v>36</v>
      </c>
      <c r="D122" s="18"/>
      <c r="E122" s="18"/>
      <c r="F122" s="18"/>
      <c r="G122" s="18"/>
      <c r="H122" s="18"/>
      <c r="I122" s="18"/>
      <c r="J122" s="18"/>
    </row>
    <row r="123" spans="1:10" ht="15" customHeight="1">
      <c r="A123" s="14"/>
      <c r="B123" s="18"/>
      <c r="C123" s="18"/>
      <c r="D123" s="18"/>
      <c r="E123" s="18"/>
      <c r="F123" s="42">
        <f>F109</f>
        <v>8500</v>
      </c>
      <c r="G123" s="18"/>
      <c r="H123" s="18" t="s">
        <v>31</v>
      </c>
      <c r="I123" s="18"/>
      <c r="J123" s="21"/>
    </row>
    <row r="124" spans="1:10" ht="15" customHeight="1">
      <c r="A124" s="14"/>
      <c r="B124" s="18"/>
      <c r="C124" s="18"/>
      <c r="D124" s="18"/>
      <c r="E124" s="18" t="s">
        <v>15</v>
      </c>
      <c r="F124" s="42">
        <f>F110</f>
        <v>2550</v>
      </c>
      <c r="G124" s="18"/>
      <c r="H124" s="18" t="s">
        <v>26</v>
      </c>
      <c r="I124" s="18"/>
      <c r="J124" s="21"/>
    </row>
    <row r="125" spans="1:10" ht="15" customHeight="1">
      <c r="A125" s="14"/>
      <c r="B125" s="18"/>
      <c r="C125" s="18"/>
      <c r="D125" s="18"/>
      <c r="E125" s="18" t="s">
        <v>11</v>
      </c>
      <c r="F125" s="59">
        <v>2</v>
      </c>
      <c r="G125" s="18"/>
      <c r="H125" s="18" t="s">
        <v>27</v>
      </c>
      <c r="I125" s="18"/>
      <c r="J125" s="21"/>
    </row>
    <row r="126" spans="1:10" ht="15" customHeight="1">
      <c r="A126" s="14"/>
      <c r="B126" s="18"/>
      <c r="C126" s="18"/>
      <c r="D126" s="18"/>
      <c r="E126" s="18" t="s">
        <v>10</v>
      </c>
      <c r="F126" s="60">
        <f>Input!E34</f>
        <v>2.5</v>
      </c>
      <c r="G126" s="18"/>
      <c r="H126" s="35" t="s">
        <v>48</v>
      </c>
      <c r="I126" s="18"/>
      <c r="J126" s="21"/>
    </row>
    <row r="127" spans="1:10" ht="15" customHeight="1">
      <c r="A127" s="14"/>
      <c r="B127" s="18"/>
      <c r="C127" s="18"/>
      <c r="D127" s="18"/>
      <c r="E127" s="19" t="s">
        <v>12</v>
      </c>
      <c r="F127" s="71">
        <f>(((F123+F124)/F125)*(F126/100))</f>
        <v>138.125</v>
      </c>
      <c r="G127" s="19"/>
      <c r="H127" s="19"/>
      <c r="I127" s="18"/>
      <c r="J127" s="21"/>
    </row>
    <row r="128" spans="1:10" ht="15" customHeight="1">
      <c r="A128" s="14"/>
      <c r="B128" s="18"/>
      <c r="C128" s="18"/>
      <c r="D128" s="18"/>
      <c r="E128" s="18"/>
      <c r="F128" s="18"/>
      <c r="G128" s="18"/>
      <c r="H128" s="18"/>
      <c r="I128" s="18"/>
      <c r="J128" s="18"/>
    </row>
    <row r="129" spans="1:10" ht="15" customHeight="1">
      <c r="A129" s="14"/>
      <c r="C129" s="19" t="s">
        <v>37</v>
      </c>
      <c r="D129" s="18"/>
      <c r="E129" s="18"/>
      <c r="F129" s="18"/>
      <c r="G129" s="18"/>
      <c r="H129" s="18"/>
      <c r="I129" s="18"/>
      <c r="J129" s="18"/>
    </row>
    <row r="130" spans="1:10" ht="15" customHeight="1">
      <c r="A130" s="14"/>
      <c r="B130" s="18"/>
      <c r="C130" s="18"/>
      <c r="D130" s="18"/>
      <c r="E130" s="18"/>
      <c r="F130" s="42">
        <f>F115</f>
        <v>21500</v>
      </c>
      <c r="G130" s="18"/>
      <c r="H130" s="18" t="s">
        <v>31</v>
      </c>
      <c r="I130" s="18"/>
      <c r="J130" s="21"/>
    </row>
    <row r="131" spans="1:10" ht="15" customHeight="1">
      <c r="A131" s="14"/>
      <c r="B131" s="18"/>
      <c r="C131" s="18"/>
      <c r="D131" s="18"/>
      <c r="E131" s="18" t="s">
        <v>15</v>
      </c>
      <c r="F131" s="42">
        <f>F116</f>
        <v>2150</v>
      </c>
      <c r="G131" s="18"/>
      <c r="H131" s="18" t="s">
        <v>26</v>
      </c>
      <c r="I131" s="18"/>
      <c r="J131" s="21"/>
    </row>
    <row r="132" spans="1:10" ht="15" customHeight="1">
      <c r="A132" s="14"/>
      <c r="B132" s="18"/>
      <c r="C132" s="18"/>
      <c r="D132" s="18"/>
      <c r="E132" s="18" t="s">
        <v>11</v>
      </c>
      <c r="F132" s="59">
        <v>2</v>
      </c>
      <c r="G132" s="18"/>
      <c r="H132" s="18" t="s">
        <v>27</v>
      </c>
      <c r="I132" s="18"/>
      <c r="J132" s="21"/>
    </row>
    <row r="133" spans="1:10" ht="15" customHeight="1">
      <c r="A133" s="14"/>
      <c r="B133" s="18"/>
      <c r="C133" s="18"/>
      <c r="D133" s="18"/>
      <c r="E133" s="18" t="s">
        <v>10</v>
      </c>
      <c r="F133" s="60">
        <f>Input!E34</f>
        <v>2.5</v>
      </c>
      <c r="G133" s="18"/>
      <c r="H133" s="35" t="s">
        <v>48</v>
      </c>
      <c r="I133" s="18"/>
      <c r="J133" s="21"/>
    </row>
    <row r="134" spans="1:10" ht="15" customHeight="1">
      <c r="A134" s="14"/>
      <c r="B134" s="18"/>
      <c r="C134" s="18"/>
      <c r="D134" s="18"/>
      <c r="E134" s="4" t="s">
        <v>12</v>
      </c>
      <c r="F134" s="71">
        <f>(((F130+F131)/F132)*(F133/100))</f>
        <v>295.625</v>
      </c>
      <c r="G134" s="4"/>
      <c r="H134" s="4"/>
      <c r="I134" s="18"/>
      <c r="J134" s="21"/>
    </row>
    <row r="135" spans="1:10" ht="15" customHeight="1">
      <c r="A135" s="14"/>
      <c r="B135" s="18"/>
      <c r="C135" s="18"/>
      <c r="D135" s="18"/>
      <c r="E135" s="18"/>
      <c r="F135" s="18"/>
      <c r="G135" s="18"/>
      <c r="H135" s="18"/>
      <c r="I135" s="18"/>
      <c r="J135" s="18"/>
    </row>
    <row r="136" spans="1:10" ht="15" customHeight="1">
      <c r="A136" s="14"/>
      <c r="C136" s="19" t="s">
        <v>95</v>
      </c>
      <c r="D136" s="18"/>
      <c r="E136" s="18"/>
      <c r="F136" s="18"/>
      <c r="G136" s="18"/>
      <c r="H136" s="18"/>
      <c r="I136" s="18"/>
      <c r="J136" s="18"/>
    </row>
    <row r="137" spans="1:10" ht="15" customHeight="1">
      <c r="A137" s="14"/>
      <c r="B137" s="18"/>
      <c r="C137" s="18"/>
      <c r="D137" s="18"/>
      <c r="E137" s="18"/>
      <c r="F137" s="42">
        <f>Input!D55</f>
        <v>0</v>
      </c>
      <c r="G137" s="18"/>
      <c r="H137" s="18" t="s">
        <v>96</v>
      </c>
      <c r="I137" s="18"/>
      <c r="J137" s="21"/>
    </row>
    <row r="138" spans="1:10" ht="15" customHeight="1">
      <c r="A138" s="14"/>
      <c r="B138" s="18"/>
      <c r="C138" s="18"/>
      <c r="D138" s="18"/>
      <c r="E138" s="23" t="s">
        <v>10</v>
      </c>
      <c r="F138" s="60">
        <f>Input!E34</f>
        <v>2.5</v>
      </c>
      <c r="G138" s="20"/>
      <c r="H138" s="23" t="s">
        <v>48</v>
      </c>
      <c r="I138" s="18"/>
      <c r="J138" s="21"/>
    </row>
    <row r="139" spans="1:10" ht="15" customHeight="1">
      <c r="A139" s="14"/>
      <c r="B139" s="18"/>
      <c r="C139" s="18"/>
      <c r="D139" s="18"/>
      <c r="E139" s="19" t="s">
        <v>12</v>
      </c>
      <c r="F139" s="71">
        <f>SUM(F137*(F138/100))</f>
        <v>0</v>
      </c>
      <c r="G139" s="19"/>
      <c r="H139" s="19"/>
      <c r="I139" s="18"/>
      <c r="J139" s="21"/>
    </row>
    <row r="140" spans="1:10" ht="15" customHeight="1">
      <c r="A140" s="14"/>
      <c r="B140" s="18"/>
      <c r="C140" s="18"/>
      <c r="D140" s="18"/>
      <c r="E140" s="18"/>
      <c r="F140" s="18"/>
      <c r="G140" s="18"/>
      <c r="H140" s="18"/>
      <c r="I140" s="18"/>
      <c r="J140" s="18"/>
    </row>
    <row r="141" spans="1:11" ht="15" customHeight="1">
      <c r="A141" s="16"/>
      <c r="B141" s="19" t="s">
        <v>141</v>
      </c>
      <c r="C141" s="19"/>
      <c r="D141" s="18"/>
      <c r="E141" s="18"/>
      <c r="F141" s="18"/>
      <c r="G141" s="18"/>
      <c r="H141" s="18"/>
      <c r="I141" s="18"/>
      <c r="J141" s="18"/>
      <c r="K141" s="14"/>
    </row>
    <row r="142" spans="1:10" ht="15" customHeight="1">
      <c r="A142" s="14"/>
      <c r="B142" s="18"/>
      <c r="C142" s="18"/>
      <c r="D142" s="18"/>
      <c r="E142" s="22" t="s">
        <v>10</v>
      </c>
      <c r="F142" s="70">
        <f>Input!E29</f>
        <v>0</v>
      </c>
      <c r="G142" s="22"/>
      <c r="H142" s="74" t="s">
        <v>142</v>
      </c>
      <c r="I142" s="18"/>
      <c r="J142" s="21"/>
    </row>
    <row r="143" spans="1:10" ht="15" customHeight="1">
      <c r="A143" s="14"/>
      <c r="B143" s="18"/>
      <c r="C143" s="18"/>
      <c r="D143" s="18"/>
      <c r="E143" s="23" t="s">
        <v>10</v>
      </c>
      <c r="F143" s="44">
        <f>Input!E28</f>
        <v>17.5</v>
      </c>
      <c r="G143" s="22"/>
      <c r="H143" s="73" t="s">
        <v>75</v>
      </c>
      <c r="I143" s="18"/>
      <c r="J143" s="21"/>
    </row>
    <row r="144" spans="1:10" ht="15" customHeight="1">
      <c r="A144" s="14"/>
      <c r="B144" s="18"/>
      <c r="C144" s="19" t="s">
        <v>14</v>
      </c>
      <c r="E144" s="19" t="s">
        <v>12</v>
      </c>
      <c r="F144" s="71">
        <f>SUM(F142*F143*52)</f>
        <v>0</v>
      </c>
      <c r="G144" s="18"/>
      <c r="H144" s="19" t="s">
        <v>90</v>
      </c>
      <c r="I144" s="18"/>
      <c r="J144" s="21"/>
    </row>
    <row r="145" spans="1:10" ht="15" customHeight="1">
      <c r="A145" s="14"/>
      <c r="B145" s="18"/>
      <c r="C145" s="19"/>
      <c r="E145" s="19"/>
      <c r="F145" s="92"/>
      <c r="G145" s="93"/>
      <c r="H145" s="4"/>
      <c r="I145" s="26"/>
      <c r="J145" s="38"/>
    </row>
    <row r="146" spans="1:10" ht="15" customHeight="1">
      <c r="A146" s="14"/>
      <c r="B146" s="19" t="s">
        <v>100</v>
      </c>
      <c r="C146" s="19"/>
      <c r="D146" s="18"/>
      <c r="E146" s="18"/>
      <c r="F146" s="18"/>
      <c r="G146" s="18"/>
      <c r="H146" s="18"/>
      <c r="I146" s="18"/>
      <c r="J146" s="18"/>
    </row>
    <row r="147" spans="1:10" ht="15" customHeight="1">
      <c r="A147" s="14"/>
      <c r="C147" s="19" t="s">
        <v>185</v>
      </c>
      <c r="D147" s="18"/>
      <c r="E147" s="18"/>
      <c r="F147" s="18"/>
      <c r="G147" s="18"/>
      <c r="H147" s="18"/>
      <c r="I147" s="18"/>
      <c r="J147" s="18"/>
    </row>
    <row r="148" spans="1:10" ht="15" customHeight="1">
      <c r="A148" s="14"/>
      <c r="C148" s="19"/>
      <c r="D148" s="18"/>
      <c r="E148" s="18"/>
      <c r="F148" s="132">
        <f>Input!E21</f>
        <v>0.0694</v>
      </c>
      <c r="G148" s="18"/>
      <c r="H148" s="18" t="s">
        <v>120</v>
      </c>
      <c r="I148" s="18"/>
      <c r="J148" s="21"/>
    </row>
    <row r="149" spans="1:10" ht="15" customHeight="1">
      <c r="A149" s="14"/>
      <c r="C149" s="19"/>
      <c r="D149" s="18"/>
      <c r="E149" s="22" t="s">
        <v>10</v>
      </c>
      <c r="F149" s="133">
        <f>Input!E22/100</f>
        <v>0.013999999999999999</v>
      </c>
      <c r="G149" s="18"/>
      <c r="H149" s="18" t="s">
        <v>153</v>
      </c>
      <c r="I149" s="18"/>
      <c r="J149" s="21"/>
    </row>
    <row r="150" spans="1:10" ht="15" customHeight="1">
      <c r="A150" s="14"/>
      <c r="C150" s="19"/>
      <c r="D150" s="18"/>
      <c r="E150" s="22" t="s">
        <v>10</v>
      </c>
      <c r="F150" s="133">
        <f>Input!E23/100</f>
        <v>0.05</v>
      </c>
      <c r="G150" s="18"/>
      <c r="H150" s="18" t="s">
        <v>154</v>
      </c>
      <c r="I150" s="18"/>
      <c r="J150" s="21"/>
    </row>
    <row r="151" spans="1:10" ht="15" customHeight="1">
      <c r="A151" s="14"/>
      <c r="B151" s="18"/>
      <c r="C151" s="18"/>
      <c r="D151" s="18"/>
      <c r="E151" s="23" t="s">
        <v>10</v>
      </c>
      <c r="F151" s="134">
        <f>F23</f>
        <v>4272.7776</v>
      </c>
      <c r="G151" s="35"/>
      <c r="H151" s="23" t="s">
        <v>115</v>
      </c>
      <c r="I151" s="18"/>
      <c r="J151" s="21"/>
    </row>
    <row r="152" spans="1:10" ht="15" customHeight="1">
      <c r="A152" s="14"/>
      <c r="B152" s="18"/>
      <c r="C152" s="18"/>
      <c r="D152" s="19" t="s">
        <v>13</v>
      </c>
      <c r="E152" s="19" t="s">
        <v>12</v>
      </c>
      <c r="F152" s="123">
        <f>SUM((F148+(F148*F149)+(F148*F150))*F151)</f>
        <v>315.50873442816004</v>
      </c>
      <c r="G152" s="18"/>
      <c r="H152" s="19" t="s">
        <v>144</v>
      </c>
      <c r="I152" s="18"/>
      <c r="J152" s="21"/>
    </row>
    <row r="153" spans="1:10" ht="15" customHeight="1">
      <c r="A153" s="14"/>
      <c r="B153" s="18"/>
      <c r="C153" s="18"/>
      <c r="D153" s="19"/>
      <c r="E153" s="19"/>
      <c r="F153" s="123"/>
      <c r="G153" s="18"/>
      <c r="H153" s="19"/>
      <c r="I153" s="18"/>
      <c r="J153" s="38"/>
    </row>
    <row r="154" spans="1:10" ht="15" customHeight="1">
      <c r="A154" s="14"/>
      <c r="C154" s="19" t="s">
        <v>187</v>
      </c>
      <c r="D154" s="18"/>
      <c r="E154" s="18"/>
      <c r="F154" s="18"/>
      <c r="G154" s="18"/>
      <c r="H154" s="18"/>
      <c r="I154" s="18"/>
      <c r="J154" s="18"/>
    </row>
    <row r="155" spans="1:10" ht="15" customHeight="1">
      <c r="A155" s="14"/>
      <c r="C155" s="19"/>
      <c r="D155" s="18"/>
      <c r="E155" s="18"/>
      <c r="F155" s="132">
        <f>Input!E21</f>
        <v>0.0694</v>
      </c>
      <c r="G155" s="18"/>
      <c r="H155" s="18" t="s">
        <v>120</v>
      </c>
      <c r="I155" s="18"/>
      <c r="J155" s="21"/>
    </row>
    <row r="156" spans="1:17" ht="15" customHeight="1">
      <c r="A156" s="14"/>
      <c r="C156" s="19"/>
      <c r="D156" s="18"/>
      <c r="E156" s="22" t="s">
        <v>10</v>
      </c>
      <c r="F156" s="133">
        <f>Input!E22/100</f>
        <v>0.013999999999999999</v>
      </c>
      <c r="G156" s="18"/>
      <c r="H156" s="18" t="s">
        <v>153</v>
      </c>
      <c r="I156" s="18"/>
      <c r="J156" s="21"/>
      <c r="P156" s="135"/>
      <c r="Q156" s="135"/>
    </row>
    <row r="157" spans="1:18" ht="15" customHeight="1">
      <c r="A157" s="14"/>
      <c r="C157" s="19"/>
      <c r="D157" s="18"/>
      <c r="E157" s="22" t="s">
        <v>10</v>
      </c>
      <c r="F157" s="133">
        <f>Input!E23/100</f>
        <v>0.05</v>
      </c>
      <c r="G157" s="18"/>
      <c r="H157" s="18" t="s">
        <v>154</v>
      </c>
      <c r="I157" s="18"/>
      <c r="J157" s="21"/>
      <c r="N157" s="135"/>
      <c r="P157" s="183"/>
      <c r="Q157" s="183"/>
      <c r="R157" s="183"/>
    </row>
    <row r="158" spans="1:17" ht="15" customHeight="1">
      <c r="A158" s="14"/>
      <c r="B158" s="18"/>
      <c r="C158" s="18"/>
      <c r="D158" s="18"/>
      <c r="E158" s="23" t="s">
        <v>10</v>
      </c>
      <c r="F158" s="134">
        <f>F30</f>
        <v>10681.944000000001</v>
      </c>
      <c r="G158" s="35"/>
      <c r="H158" s="23" t="s">
        <v>115</v>
      </c>
      <c r="I158" s="18"/>
      <c r="J158" s="21"/>
      <c r="N158" s="135"/>
      <c r="P158" s="135"/>
      <c r="Q158" s="135"/>
    </row>
    <row r="159" spans="1:14" ht="15" customHeight="1">
      <c r="A159" s="14"/>
      <c r="B159" s="18"/>
      <c r="C159" s="18"/>
      <c r="D159" s="19" t="s">
        <v>13</v>
      </c>
      <c r="E159" s="19" t="s">
        <v>12</v>
      </c>
      <c r="F159" s="123">
        <f>SUM((F155+(F155*F156)+(F155*F157))*F158)</f>
        <v>788.7718360704001</v>
      </c>
      <c r="G159" s="18"/>
      <c r="H159" s="19" t="s">
        <v>144</v>
      </c>
      <c r="I159" s="18"/>
      <c r="J159" s="21"/>
      <c r="N159" s="135"/>
    </row>
    <row r="160" spans="1:14" ht="15" customHeight="1">
      <c r="A160" s="14"/>
      <c r="B160" s="18"/>
      <c r="C160" s="18"/>
      <c r="D160" s="19"/>
      <c r="E160" s="19"/>
      <c r="F160" s="123"/>
      <c r="G160" s="18"/>
      <c r="H160" s="19"/>
      <c r="I160" s="18"/>
      <c r="J160" s="38"/>
      <c r="N160" s="135"/>
    </row>
    <row r="161" spans="1:14" ht="15" customHeight="1">
      <c r="A161" s="14"/>
      <c r="B161" s="18"/>
      <c r="C161" s="18"/>
      <c r="D161" s="19"/>
      <c r="E161" s="19"/>
      <c r="F161" s="123"/>
      <c r="G161" s="18"/>
      <c r="H161" s="19"/>
      <c r="I161" s="18"/>
      <c r="J161" s="38"/>
      <c r="N161" s="135"/>
    </row>
    <row r="162" spans="1:10" ht="18.75" customHeight="1">
      <c r="A162" s="14"/>
      <c r="B162" s="214" t="s">
        <v>192</v>
      </c>
      <c r="C162" s="215"/>
      <c r="D162" s="215"/>
      <c r="E162" s="215"/>
      <c r="F162" s="215"/>
      <c r="G162" s="215"/>
      <c r="H162" s="215"/>
      <c r="I162" s="215"/>
      <c r="J162" s="215"/>
    </row>
    <row r="163" spans="1:10" ht="15" customHeight="1">
      <c r="A163" s="14"/>
      <c r="B163" s="159"/>
      <c r="C163" s="160"/>
      <c r="D163" s="160"/>
      <c r="E163" s="160"/>
      <c r="F163" s="160"/>
      <c r="G163" s="160"/>
      <c r="H163" s="160"/>
      <c r="I163" s="160"/>
      <c r="J163" s="160"/>
    </row>
    <row r="164" spans="1:14" ht="15" customHeight="1">
      <c r="A164" s="14"/>
      <c r="C164" s="19" t="s">
        <v>190</v>
      </c>
      <c r="D164" s="18"/>
      <c r="E164" s="18"/>
      <c r="F164" s="18"/>
      <c r="G164" s="18"/>
      <c r="H164" s="18"/>
      <c r="I164" s="18"/>
      <c r="J164" s="18"/>
      <c r="N164" s="135"/>
    </row>
    <row r="165" spans="1:14" ht="15" customHeight="1">
      <c r="A165" s="14"/>
      <c r="C165" s="19"/>
      <c r="D165" s="18"/>
      <c r="E165" s="18"/>
      <c r="F165" s="132">
        <f>SUM((Input!E21+((FV((Input!E24/100),Input!E37,0,-Input!E21)-Input!E21)/2)))</f>
        <v>0.09616628566896875</v>
      </c>
      <c r="G165" s="18"/>
      <c r="H165" s="18" t="s">
        <v>120</v>
      </c>
      <c r="I165" s="18"/>
      <c r="J165" s="18"/>
      <c r="N165" s="135"/>
    </row>
    <row r="166" spans="1:14" ht="15" customHeight="1">
      <c r="A166" s="14"/>
      <c r="C166" s="19"/>
      <c r="D166" s="18"/>
      <c r="E166" s="18"/>
      <c r="F166" s="18" t="str">
        <f>"(Based on "&amp;Input!E37&amp;" year average rates and "&amp;(Input!E24)&amp;"% annual rate increase)"</f>
        <v>(Based on 20 year average rates and 2.9% annual rate increase)</v>
      </c>
      <c r="G166" s="18"/>
      <c r="I166" s="18"/>
      <c r="J166" s="18"/>
      <c r="N166" s="135"/>
    </row>
    <row r="167" spans="1:14" ht="15" customHeight="1">
      <c r="A167" s="14"/>
      <c r="C167" s="19"/>
      <c r="D167" s="18"/>
      <c r="E167" s="18"/>
      <c r="F167" s="18"/>
      <c r="G167" s="18"/>
      <c r="I167" s="18"/>
      <c r="J167" s="18"/>
      <c r="N167" s="135"/>
    </row>
    <row r="168" spans="1:14" ht="15" customHeight="1">
      <c r="A168" s="14"/>
      <c r="C168" s="19" t="s">
        <v>191</v>
      </c>
      <c r="D168" s="18"/>
      <c r="E168" s="18"/>
      <c r="F168" s="18"/>
      <c r="G168" s="18"/>
      <c r="H168" s="18"/>
      <c r="I168" s="18"/>
      <c r="J168" s="18"/>
      <c r="N168" s="135"/>
    </row>
    <row r="169" spans="1:14" ht="15" customHeight="1">
      <c r="A169" s="14"/>
      <c r="C169" s="19"/>
      <c r="D169" s="18"/>
      <c r="E169" s="18"/>
      <c r="F169" s="132">
        <f>SUM((Input!E21+((FV((Input!E24/100),Input!E37,0,-Input!E21)-Input!E21)/1)))</f>
        <v>0.12293257133793749</v>
      </c>
      <c r="G169" s="18"/>
      <c r="H169" s="18" t="s">
        <v>120</v>
      </c>
      <c r="I169" s="18"/>
      <c r="J169" s="18"/>
      <c r="N169" s="135"/>
    </row>
    <row r="170" spans="1:14" ht="15" customHeight="1">
      <c r="A170" s="14"/>
      <c r="C170" s="19"/>
      <c r="D170" s="18"/>
      <c r="E170" s="18"/>
      <c r="F170" s="18" t="str">
        <f>"(Rate in "&amp;Input!E37&amp;" years with "&amp;(Input!E24)&amp;"% annual rate increase)"</f>
        <v>(Rate in 20 years with 2.9% annual rate increase)</v>
      </c>
      <c r="G170" s="18"/>
      <c r="I170" s="18"/>
      <c r="J170" s="18"/>
      <c r="N170" s="135"/>
    </row>
    <row r="171" spans="1:14" ht="15" customHeight="1">
      <c r="A171" s="14"/>
      <c r="C171" s="19"/>
      <c r="D171" s="18"/>
      <c r="E171" s="18"/>
      <c r="F171" s="18"/>
      <c r="G171" s="18"/>
      <c r="I171" s="18"/>
      <c r="J171" s="18"/>
      <c r="N171" s="135"/>
    </row>
    <row r="172" spans="1:14" ht="15" customHeight="1">
      <c r="A172" s="14"/>
      <c r="C172" s="19"/>
      <c r="D172" s="18"/>
      <c r="E172" s="18"/>
      <c r="F172" s="18"/>
      <c r="G172" s="18"/>
      <c r="I172" s="18"/>
      <c r="J172" s="18"/>
      <c r="N172" s="135"/>
    </row>
    <row r="173" spans="1:10" ht="15" customHeight="1">
      <c r="A173" s="14"/>
      <c r="C173" s="19" t="s">
        <v>193</v>
      </c>
      <c r="D173" s="18"/>
      <c r="E173" s="18"/>
      <c r="F173" s="18"/>
      <c r="G173" s="18"/>
      <c r="H173" s="18"/>
      <c r="I173" s="18"/>
      <c r="J173" s="18"/>
    </row>
    <row r="174" spans="1:10" ht="15" customHeight="1">
      <c r="A174" s="14"/>
      <c r="C174" s="19"/>
      <c r="D174" s="18"/>
      <c r="E174" s="18"/>
      <c r="F174" s="132">
        <f>F165</f>
        <v>0.09616628566896875</v>
      </c>
      <c r="G174" s="18"/>
      <c r="H174" s="18" t="s">
        <v>120</v>
      </c>
      <c r="I174" s="18"/>
      <c r="J174" s="21"/>
    </row>
    <row r="175" spans="1:10" ht="15" customHeight="1">
      <c r="A175" s="14"/>
      <c r="C175" s="19"/>
      <c r="D175" s="18"/>
      <c r="E175" s="22" t="s">
        <v>10</v>
      </c>
      <c r="F175" s="133">
        <f>Input!E22/100</f>
        <v>0.013999999999999999</v>
      </c>
      <c r="G175" s="18"/>
      <c r="H175" s="18" t="s">
        <v>153</v>
      </c>
      <c r="I175" s="18"/>
      <c r="J175" s="21"/>
    </row>
    <row r="176" spans="1:10" ht="15" customHeight="1">
      <c r="A176" s="14"/>
      <c r="C176" s="19"/>
      <c r="D176" s="18"/>
      <c r="E176" s="22" t="s">
        <v>10</v>
      </c>
      <c r="F176" s="133">
        <f>Input!E23/100</f>
        <v>0.05</v>
      </c>
      <c r="G176" s="18"/>
      <c r="H176" s="18" t="s">
        <v>154</v>
      </c>
      <c r="I176" s="18"/>
      <c r="J176" s="21"/>
    </row>
    <row r="177" spans="1:10" ht="15" customHeight="1">
      <c r="A177" s="14"/>
      <c r="B177" s="18"/>
      <c r="C177" s="18"/>
      <c r="D177" s="18"/>
      <c r="E177" s="23" t="s">
        <v>10</v>
      </c>
      <c r="F177" s="134">
        <f>F23</f>
        <v>4272.7776</v>
      </c>
      <c r="G177" s="35"/>
      <c r="H177" s="23" t="s">
        <v>115</v>
      </c>
      <c r="I177" s="18"/>
      <c r="J177" s="21"/>
    </row>
    <row r="178" spans="1:10" ht="15" customHeight="1">
      <c r="A178" s="14"/>
      <c r="B178" s="18"/>
      <c r="C178" s="18"/>
      <c r="D178" s="19" t="s">
        <v>13</v>
      </c>
      <c r="E178" s="19" t="s">
        <v>12</v>
      </c>
      <c r="F178" s="123">
        <f>SUM((F174+(F174*F175)+(F174*F176))*F177)</f>
        <v>437.1945689635912</v>
      </c>
      <c r="G178" s="18"/>
      <c r="H178" s="19" t="s">
        <v>144</v>
      </c>
      <c r="I178" s="18"/>
      <c r="J178" s="21"/>
    </row>
    <row r="179" spans="1:14" ht="15" customHeight="1">
      <c r="A179" s="14"/>
      <c r="C179" s="19"/>
      <c r="D179" s="18"/>
      <c r="E179" s="18"/>
      <c r="F179" s="18"/>
      <c r="G179" s="18"/>
      <c r="I179" s="18"/>
      <c r="J179" s="18"/>
      <c r="N179" s="135"/>
    </row>
    <row r="180" spans="1:10" ht="15" customHeight="1">
      <c r="A180" s="14"/>
      <c r="C180" s="19" t="s">
        <v>194</v>
      </c>
      <c r="D180" s="18"/>
      <c r="E180" s="18"/>
      <c r="F180" s="18"/>
      <c r="G180" s="18"/>
      <c r="H180" s="18"/>
      <c r="I180" s="18"/>
      <c r="J180" s="18"/>
    </row>
    <row r="181" spans="1:10" ht="15" customHeight="1">
      <c r="A181" s="14"/>
      <c r="C181" s="19"/>
      <c r="D181" s="18"/>
      <c r="E181" s="18"/>
      <c r="F181" s="132">
        <f>F165</f>
        <v>0.09616628566896875</v>
      </c>
      <c r="G181" s="18"/>
      <c r="H181" s="18" t="s">
        <v>120</v>
      </c>
      <c r="I181" s="18"/>
      <c r="J181" s="21"/>
    </row>
    <row r="182" spans="1:10" ht="15" customHeight="1">
      <c r="A182" s="14"/>
      <c r="C182" s="19"/>
      <c r="D182" s="18"/>
      <c r="E182" s="22" t="s">
        <v>10</v>
      </c>
      <c r="F182" s="133">
        <f>Input!E22/100</f>
        <v>0.013999999999999999</v>
      </c>
      <c r="G182" s="18"/>
      <c r="H182" s="18" t="s">
        <v>153</v>
      </c>
      <c r="I182" s="18"/>
      <c r="J182" s="21"/>
    </row>
    <row r="183" spans="1:10" ht="15" customHeight="1">
      <c r="A183" s="14"/>
      <c r="C183" s="19"/>
      <c r="D183" s="18"/>
      <c r="E183" s="22" t="s">
        <v>10</v>
      </c>
      <c r="F183" s="133">
        <f>Input!E23/100</f>
        <v>0.05</v>
      </c>
      <c r="G183" s="18"/>
      <c r="H183" s="18" t="s">
        <v>154</v>
      </c>
      <c r="I183" s="18"/>
      <c r="J183" s="21"/>
    </row>
    <row r="184" spans="1:10" ht="15" customHeight="1">
      <c r="A184" s="14"/>
      <c r="B184" s="18"/>
      <c r="C184" s="18"/>
      <c r="D184" s="18"/>
      <c r="E184" s="23" t="s">
        <v>10</v>
      </c>
      <c r="F184" s="134">
        <f>F30</f>
        <v>10681.944000000001</v>
      </c>
      <c r="G184" s="35"/>
      <c r="H184" s="23" t="s">
        <v>115</v>
      </c>
      <c r="I184" s="18"/>
      <c r="J184" s="21"/>
    </row>
    <row r="185" spans="1:10" ht="15" customHeight="1">
      <c r="A185" s="14"/>
      <c r="B185" s="18"/>
      <c r="C185" s="18"/>
      <c r="D185" s="19" t="s">
        <v>13</v>
      </c>
      <c r="E185" s="19" t="s">
        <v>12</v>
      </c>
      <c r="F185" s="123">
        <f>SUM((F181+(F181*F182)+(F181*F183))*F184)</f>
        <v>1092.9864224089781</v>
      </c>
      <c r="G185" s="18"/>
      <c r="H185" s="19" t="s">
        <v>144</v>
      </c>
      <c r="I185" s="18"/>
      <c r="J185" s="21"/>
    </row>
    <row r="186" spans="1:14" ht="15" customHeight="1">
      <c r="A186" s="14"/>
      <c r="C186" s="19"/>
      <c r="D186" s="18"/>
      <c r="E186" s="18"/>
      <c r="F186" s="132"/>
      <c r="G186" s="18"/>
      <c r="H186" s="18"/>
      <c r="I186" s="18"/>
      <c r="J186" s="18"/>
      <c r="N186" s="135"/>
    </row>
    <row r="187" spans="1:14" ht="15" customHeight="1">
      <c r="A187" s="14"/>
      <c r="B187" s="18"/>
      <c r="C187" s="18"/>
      <c r="D187" s="19"/>
      <c r="E187" s="19"/>
      <c r="F187" s="123"/>
      <c r="G187" s="18"/>
      <c r="H187" s="19"/>
      <c r="I187" s="18"/>
      <c r="J187" s="38"/>
      <c r="N187" s="135"/>
    </row>
    <row r="188" spans="1:10" ht="15" customHeight="1">
      <c r="A188" s="14"/>
      <c r="C188" s="19" t="s">
        <v>196</v>
      </c>
      <c r="D188" s="18"/>
      <c r="E188" s="18"/>
      <c r="F188" s="18"/>
      <c r="G188" s="18"/>
      <c r="H188" s="18"/>
      <c r="I188" s="18"/>
      <c r="J188" s="18"/>
    </row>
    <row r="189" spans="1:10" ht="15" customHeight="1">
      <c r="A189" s="14"/>
      <c r="C189" s="19"/>
      <c r="D189" s="18"/>
      <c r="E189" s="18"/>
      <c r="F189" s="190">
        <f>F152</f>
        <v>315.50873442816004</v>
      </c>
      <c r="G189" s="18"/>
      <c r="H189" s="18" t="s">
        <v>197</v>
      </c>
      <c r="I189" s="18"/>
      <c r="J189" s="21"/>
    </row>
    <row r="190" spans="1:10" ht="15" customHeight="1">
      <c r="A190" s="14"/>
      <c r="C190" s="19"/>
      <c r="D190" s="18"/>
      <c r="E190" s="35" t="s">
        <v>11</v>
      </c>
      <c r="F190" s="185">
        <f>H101</f>
        <v>30000</v>
      </c>
      <c r="G190" s="18"/>
      <c r="H190" s="35" t="s">
        <v>52</v>
      </c>
      <c r="I190" s="18"/>
      <c r="J190" s="21"/>
    </row>
    <row r="191" spans="1:10" ht="15" customHeight="1">
      <c r="A191" s="14"/>
      <c r="B191" s="18"/>
      <c r="C191" s="18"/>
      <c r="D191" s="19"/>
      <c r="E191" s="19" t="s">
        <v>12</v>
      </c>
      <c r="F191" s="184">
        <f>SUM(F189/F190)</f>
        <v>0.010516957814272001</v>
      </c>
      <c r="G191" s="18"/>
      <c r="H191" s="19" t="s">
        <v>198</v>
      </c>
      <c r="I191" s="18"/>
      <c r="J191" s="21"/>
    </row>
    <row r="192" spans="1:14" ht="15" customHeight="1">
      <c r="A192" s="14"/>
      <c r="B192" s="18"/>
      <c r="C192" s="18"/>
      <c r="D192" s="19"/>
      <c r="E192" s="19"/>
      <c r="F192" s="123"/>
      <c r="G192" s="18"/>
      <c r="H192" s="19"/>
      <c r="I192" s="18"/>
      <c r="J192" s="38"/>
      <c r="N192" s="135"/>
    </row>
    <row r="193" spans="1:10" ht="15" customHeight="1">
      <c r="A193" s="14"/>
      <c r="C193" s="19" t="s">
        <v>196</v>
      </c>
      <c r="D193" s="18"/>
      <c r="E193" s="18"/>
      <c r="F193" s="18"/>
      <c r="G193" s="18"/>
      <c r="H193" s="18"/>
      <c r="I193" s="18"/>
      <c r="J193" s="18"/>
    </row>
    <row r="194" spans="1:10" ht="15" customHeight="1">
      <c r="A194" s="14"/>
      <c r="C194" s="19"/>
      <c r="D194" s="18"/>
      <c r="E194" s="18"/>
      <c r="F194" s="190">
        <f>F159</f>
        <v>788.7718360704001</v>
      </c>
      <c r="G194" s="18"/>
      <c r="H194" s="18" t="s">
        <v>202</v>
      </c>
      <c r="I194" s="18"/>
      <c r="J194" s="21"/>
    </row>
    <row r="195" spans="1:10" ht="15" customHeight="1">
      <c r="A195" s="14"/>
      <c r="C195" s="19"/>
      <c r="D195" s="18"/>
      <c r="E195" s="35" t="s">
        <v>11</v>
      </c>
      <c r="F195" s="185">
        <f>H101</f>
        <v>30000</v>
      </c>
      <c r="G195" s="18"/>
      <c r="H195" s="35" t="s">
        <v>52</v>
      </c>
      <c r="I195" s="18"/>
      <c r="J195" s="21"/>
    </row>
    <row r="196" spans="1:10" ht="15" customHeight="1">
      <c r="A196" s="14"/>
      <c r="B196" s="18"/>
      <c r="C196" s="18"/>
      <c r="D196" s="19"/>
      <c r="E196" s="19" t="s">
        <v>12</v>
      </c>
      <c r="F196" s="184">
        <f>SUM(F194/F195)</f>
        <v>0.026292394535680004</v>
      </c>
      <c r="G196" s="18"/>
      <c r="H196" s="19" t="s">
        <v>198</v>
      </c>
      <c r="I196" s="18"/>
      <c r="J196" s="21"/>
    </row>
    <row r="197" spans="1:10" ht="15" customHeight="1">
      <c r="A197" s="14"/>
      <c r="B197" s="18"/>
      <c r="C197" s="18"/>
      <c r="D197" s="19"/>
      <c r="E197" s="19"/>
      <c r="F197" s="184"/>
      <c r="G197" s="18"/>
      <c r="H197" s="19"/>
      <c r="I197" s="18"/>
      <c r="J197" s="38"/>
    </row>
    <row r="198" spans="1:10" ht="15" customHeight="1">
      <c r="A198" s="14"/>
      <c r="C198" s="19" t="str">
        <f>"          Estimated Return on Asset (ROA) - with "&amp;(Input!E24)&amp;"% annual MB Hydro rate inflation"</f>
        <v>          Estimated Return on Asset (ROA) - with 2.9% annual MB Hydro rate inflation</v>
      </c>
      <c r="D198" s="18"/>
      <c r="E198" s="18"/>
      <c r="F198" s="18"/>
      <c r="G198" s="18"/>
      <c r="H198" s="18"/>
      <c r="I198" s="18"/>
      <c r="J198" s="18"/>
    </row>
    <row r="199" spans="1:10" ht="15" customHeight="1">
      <c r="A199" s="14"/>
      <c r="C199" s="19"/>
      <c r="D199" s="18"/>
      <c r="E199" s="18"/>
      <c r="F199" s="190">
        <f>F178</f>
        <v>437.1945689635912</v>
      </c>
      <c r="G199" s="18"/>
      <c r="H199" s="18" t="s">
        <v>197</v>
      </c>
      <c r="I199" s="18"/>
      <c r="J199" s="21"/>
    </row>
    <row r="200" spans="1:10" ht="15" customHeight="1">
      <c r="A200" s="14"/>
      <c r="C200" s="19"/>
      <c r="D200" s="18"/>
      <c r="E200" s="35" t="s">
        <v>11</v>
      </c>
      <c r="F200" s="185">
        <f>H101</f>
        <v>30000</v>
      </c>
      <c r="G200" s="18"/>
      <c r="H200" s="35" t="s">
        <v>52</v>
      </c>
      <c r="I200" s="18"/>
      <c r="J200" s="21"/>
    </row>
    <row r="201" spans="1:10" ht="15" customHeight="1">
      <c r="A201" s="14"/>
      <c r="B201" s="18"/>
      <c r="C201" s="18"/>
      <c r="D201" s="19"/>
      <c r="E201" s="19" t="s">
        <v>12</v>
      </c>
      <c r="F201" s="184">
        <f>SUM(F199/F200)</f>
        <v>0.014573152298786375</v>
      </c>
      <c r="G201" s="18"/>
      <c r="H201" s="19" t="s">
        <v>198</v>
      </c>
      <c r="I201" s="18"/>
      <c r="J201" s="21"/>
    </row>
    <row r="202" spans="1:14" ht="15" customHeight="1">
      <c r="A202" s="14"/>
      <c r="B202" s="18"/>
      <c r="C202" s="18"/>
      <c r="D202" s="19"/>
      <c r="E202" s="19"/>
      <c r="F202" s="123"/>
      <c r="G202" s="18"/>
      <c r="H202" s="19"/>
      <c r="I202" s="18"/>
      <c r="J202" s="38"/>
      <c r="N202" s="135"/>
    </row>
    <row r="203" spans="1:10" ht="15" customHeight="1">
      <c r="A203" s="14"/>
      <c r="C203" s="19" t="str">
        <f>"          Estimated Return on Asset (ROA) - with "&amp;(Input!E24)&amp;"% annual MB Hydro rate inflation"</f>
        <v>          Estimated Return on Asset (ROA) - with 2.9% annual MB Hydro rate inflation</v>
      </c>
      <c r="D203" s="18"/>
      <c r="E203" s="18"/>
      <c r="F203" s="18"/>
      <c r="G203" s="18"/>
      <c r="H203" s="18"/>
      <c r="I203" s="18"/>
      <c r="J203" s="18"/>
    </row>
    <row r="204" spans="1:10" ht="15" customHeight="1">
      <c r="A204" s="14"/>
      <c r="C204" s="19"/>
      <c r="D204" s="18"/>
      <c r="E204" s="18"/>
      <c r="F204" s="190">
        <f>F185</f>
        <v>1092.9864224089781</v>
      </c>
      <c r="G204" s="18"/>
      <c r="H204" s="18" t="s">
        <v>202</v>
      </c>
      <c r="I204" s="18"/>
      <c r="J204" s="21"/>
    </row>
    <row r="205" spans="1:10" ht="15" customHeight="1">
      <c r="A205" s="14"/>
      <c r="C205" s="19"/>
      <c r="D205" s="18"/>
      <c r="E205" s="35" t="s">
        <v>11</v>
      </c>
      <c r="F205" s="185">
        <f>H101</f>
        <v>30000</v>
      </c>
      <c r="G205" s="18"/>
      <c r="H205" s="35" t="s">
        <v>52</v>
      </c>
      <c r="I205" s="18"/>
      <c r="J205" s="21"/>
    </row>
    <row r="206" spans="1:10" ht="15" customHeight="1">
      <c r="A206" s="14"/>
      <c r="B206" s="18"/>
      <c r="C206" s="18"/>
      <c r="D206" s="19"/>
      <c r="E206" s="19" t="s">
        <v>12</v>
      </c>
      <c r="F206" s="184">
        <f>SUM(F204/F205)</f>
        <v>0.036432880746965934</v>
      </c>
      <c r="G206" s="18"/>
      <c r="H206" s="19" t="s">
        <v>198</v>
      </c>
      <c r="I206" s="18"/>
      <c r="J206" s="21"/>
    </row>
    <row r="207" spans="1:10" ht="15" customHeight="1">
      <c r="A207" s="14"/>
      <c r="B207" s="18"/>
      <c r="C207" s="18"/>
      <c r="D207" s="19"/>
      <c r="E207" s="19"/>
      <c r="F207" s="184"/>
      <c r="G207" s="18"/>
      <c r="H207" s="19"/>
      <c r="I207" s="18"/>
      <c r="J207" s="38"/>
    </row>
    <row r="208" spans="1:10" ht="15" customHeight="1">
      <c r="A208" s="14"/>
      <c r="B208" s="18"/>
      <c r="C208" s="18"/>
      <c r="D208" s="19"/>
      <c r="E208" s="19"/>
      <c r="F208" s="184"/>
      <c r="G208" s="18"/>
      <c r="H208" s="19"/>
      <c r="I208" s="18"/>
      <c r="J208" s="38"/>
    </row>
    <row r="209" spans="1:10" ht="15" customHeight="1">
      <c r="A209" s="14"/>
      <c r="C209" s="19" t="str">
        <f>"          Simple Payback Calculation - without MB Hydro rate inflation"</f>
        <v>          Simple Payback Calculation - without MB Hydro rate inflation</v>
      </c>
      <c r="D209" s="18"/>
      <c r="E209" s="18"/>
      <c r="F209" s="18"/>
      <c r="G209" s="18"/>
      <c r="H209" s="18"/>
      <c r="I209" s="18"/>
      <c r="J209" s="18"/>
    </row>
    <row r="210" spans="1:10" ht="15" customHeight="1">
      <c r="A210" s="14"/>
      <c r="C210" s="19"/>
      <c r="D210" s="18"/>
      <c r="E210" s="18"/>
      <c r="F210" s="177">
        <f>H101</f>
        <v>30000</v>
      </c>
      <c r="G210" s="18"/>
      <c r="H210" s="18" t="s">
        <v>52</v>
      </c>
      <c r="I210" s="18"/>
      <c r="J210" s="21"/>
    </row>
    <row r="211" spans="1:10" ht="15" customHeight="1">
      <c r="A211" s="14"/>
      <c r="C211" s="19"/>
      <c r="D211" s="18"/>
      <c r="E211" s="35" t="s">
        <v>11</v>
      </c>
      <c r="F211" s="185">
        <f>F152</f>
        <v>315.50873442816004</v>
      </c>
      <c r="G211" s="18"/>
      <c r="H211" s="35" t="s">
        <v>197</v>
      </c>
      <c r="I211" s="18"/>
      <c r="J211" s="21"/>
    </row>
    <row r="212" spans="1:10" ht="15" customHeight="1">
      <c r="A212" s="14"/>
      <c r="B212" s="18"/>
      <c r="C212" s="18"/>
      <c r="D212" s="19"/>
      <c r="E212" s="19" t="s">
        <v>12</v>
      </c>
      <c r="F212" s="186">
        <f>SUM(F210/F211)</f>
        <v>95.08453087478904</v>
      </c>
      <c r="G212" s="18"/>
      <c r="H212" s="19" t="s">
        <v>201</v>
      </c>
      <c r="I212" s="18"/>
      <c r="J212" s="21"/>
    </row>
    <row r="213" spans="1:10" ht="15" customHeight="1">
      <c r="A213" s="14"/>
      <c r="B213" s="18"/>
      <c r="C213" s="18"/>
      <c r="D213" s="19"/>
      <c r="E213" s="19"/>
      <c r="F213" s="184"/>
      <c r="G213" s="18"/>
      <c r="H213" s="19"/>
      <c r="I213" s="18"/>
      <c r="J213" s="38"/>
    </row>
    <row r="214" spans="1:10" ht="15" customHeight="1">
      <c r="A214" s="14"/>
      <c r="C214" s="19" t="str">
        <f>"          Simple Payback Calculation - without MB Hydro rate inflation"</f>
        <v>          Simple Payback Calculation - without MB Hydro rate inflation</v>
      </c>
      <c r="D214" s="18"/>
      <c r="E214" s="18"/>
      <c r="F214" s="18"/>
      <c r="G214" s="18"/>
      <c r="H214" s="18"/>
      <c r="I214" s="18"/>
      <c r="J214" s="18"/>
    </row>
    <row r="215" spans="1:10" ht="15" customHeight="1">
      <c r="A215" s="14"/>
      <c r="C215" s="19"/>
      <c r="D215" s="18"/>
      <c r="E215" s="18"/>
      <c r="F215" s="177">
        <f>H101</f>
        <v>30000</v>
      </c>
      <c r="G215" s="18"/>
      <c r="H215" s="18" t="s">
        <v>52</v>
      </c>
      <c r="I215" s="18"/>
      <c r="J215" s="21"/>
    </row>
    <row r="216" spans="1:10" ht="15" customHeight="1">
      <c r="A216" s="14"/>
      <c r="C216" s="19"/>
      <c r="D216" s="18"/>
      <c r="E216" s="35" t="s">
        <v>11</v>
      </c>
      <c r="F216" s="185">
        <f>F159</f>
        <v>788.7718360704001</v>
      </c>
      <c r="G216" s="18"/>
      <c r="H216" s="35" t="s">
        <v>202</v>
      </c>
      <c r="I216" s="18"/>
      <c r="J216" s="21"/>
    </row>
    <row r="217" spans="1:10" ht="15" customHeight="1">
      <c r="A217" s="14"/>
      <c r="B217" s="18"/>
      <c r="C217" s="18"/>
      <c r="D217" s="19"/>
      <c r="E217" s="19" t="s">
        <v>12</v>
      </c>
      <c r="F217" s="186">
        <f>SUM(F215/F216)</f>
        <v>38.033812349915614</v>
      </c>
      <c r="G217" s="18"/>
      <c r="H217" s="19" t="s">
        <v>201</v>
      </c>
      <c r="I217" s="18"/>
      <c r="J217" s="21"/>
    </row>
    <row r="218" spans="1:10" ht="15" customHeight="1">
      <c r="A218" s="14"/>
      <c r="B218" s="18"/>
      <c r="C218" s="18"/>
      <c r="D218" s="19"/>
      <c r="E218" s="19"/>
      <c r="F218" s="186"/>
      <c r="G218" s="18"/>
      <c r="H218" s="19"/>
      <c r="I218" s="18"/>
      <c r="J218" s="38"/>
    </row>
    <row r="219" spans="1:10" ht="15" customHeight="1">
      <c r="A219" s="14"/>
      <c r="C219" s="19" t="str">
        <f>"          Simple Payback Calculation- with "&amp;(Input!E24)&amp;"% annual MB Hydro rate inflation"</f>
        <v>          Simple Payback Calculation- with 2.9% annual MB Hydro rate inflation</v>
      </c>
      <c r="D219" s="18"/>
      <c r="E219" s="18"/>
      <c r="F219" s="18"/>
      <c r="G219" s="18"/>
      <c r="H219" s="18"/>
      <c r="I219" s="18"/>
      <c r="J219" s="18"/>
    </row>
    <row r="220" spans="1:10" ht="15" customHeight="1">
      <c r="A220" s="14"/>
      <c r="C220" s="19"/>
      <c r="D220" s="18"/>
      <c r="E220" s="18"/>
      <c r="F220" s="177">
        <f>H101</f>
        <v>30000</v>
      </c>
      <c r="G220" s="18"/>
      <c r="H220" s="18" t="s">
        <v>52</v>
      </c>
      <c r="I220" s="18"/>
      <c r="J220" s="21"/>
    </row>
    <row r="221" spans="1:10" ht="15" customHeight="1">
      <c r="A221" s="14"/>
      <c r="C221" s="19"/>
      <c r="D221" s="18"/>
      <c r="E221" s="35" t="s">
        <v>11</v>
      </c>
      <c r="F221" s="185">
        <f>F178</f>
        <v>437.1945689635912</v>
      </c>
      <c r="G221" s="18"/>
      <c r="H221" s="35" t="s">
        <v>197</v>
      </c>
      <c r="I221" s="18"/>
      <c r="J221" s="21"/>
    </row>
    <row r="222" spans="1:10" ht="15" customHeight="1">
      <c r="A222" s="14"/>
      <c r="B222" s="18"/>
      <c r="C222" s="18"/>
      <c r="D222" s="19"/>
      <c r="E222" s="19" t="s">
        <v>12</v>
      </c>
      <c r="F222" s="186">
        <f>SUM(F220/F221)</f>
        <v>68.61933365530518</v>
      </c>
      <c r="G222" s="18"/>
      <c r="H222" s="19" t="s">
        <v>201</v>
      </c>
      <c r="I222" s="18"/>
      <c r="J222" s="21"/>
    </row>
    <row r="223" spans="1:10" ht="15" customHeight="1">
      <c r="A223" s="14"/>
      <c r="B223" s="18"/>
      <c r="C223" s="18"/>
      <c r="D223" s="19"/>
      <c r="E223" s="19"/>
      <c r="F223" s="186"/>
      <c r="G223" s="18"/>
      <c r="H223" s="19"/>
      <c r="I223" s="18"/>
      <c r="J223" s="38"/>
    </row>
    <row r="224" spans="1:10" ht="15" customHeight="1">
      <c r="A224" s="14"/>
      <c r="C224" s="19" t="str">
        <f>"          Simple Payback Calculation- with "&amp;(Input!E24)&amp;"% annual MB Hydro rate inflation"</f>
        <v>          Simple Payback Calculation- with 2.9% annual MB Hydro rate inflation</v>
      </c>
      <c r="D224" s="18"/>
      <c r="E224" s="18"/>
      <c r="F224" s="18"/>
      <c r="G224" s="18"/>
      <c r="H224" s="18"/>
      <c r="I224" s="18"/>
      <c r="J224" s="18"/>
    </row>
    <row r="225" spans="1:10" ht="15" customHeight="1">
      <c r="A225" s="14"/>
      <c r="C225" s="19"/>
      <c r="D225" s="18"/>
      <c r="E225" s="18"/>
      <c r="F225" s="177">
        <f>H101</f>
        <v>30000</v>
      </c>
      <c r="G225" s="18"/>
      <c r="H225" s="18" t="s">
        <v>52</v>
      </c>
      <c r="I225" s="18"/>
      <c r="J225" s="21"/>
    </row>
    <row r="226" spans="1:10" ht="15" customHeight="1">
      <c r="A226" s="14"/>
      <c r="C226" s="19"/>
      <c r="D226" s="18"/>
      <c r="E226" s="35" t="s">
        <v>11</v>
      </c>
      <c r="F226" s="185">
        <f>F185</f>
        <v>1092.9864224089781</v>
      </c>
      <c r="G226" s="18"/>
      <c r="H226" s="35" t="s">
        <v>202</v>
      </c>
      <c r="I226" s="18"/>
      <c r="J226" s="21"/>
    </row>
    <row r="227" spans="1:10" ht="15" customHeight="1">
      <c r="A227" s="14"/>
      <c r="B227" s="18"/>
      <c r="C227" s="18"/>
      <c r="D227" s="19"/>
      <c r="E227" s="19" t="s">
        <v>12</v>
      </c>
      <c r="F227" s="186">
        <f>SUM(F225/F226)</f>
        <v>27.447733462122073</v>
      </c>
      <c r="G227" s="18"/>
      <c r="H227" s="19" t="s">
        <v>201</v>
      </c>
      <c r="I227" s="18"/>
      <c r="J227" s="21"/>
    </row>
    <row r="228" spans="1:10" ht="15" customHeight="1">
      <c r="A228" s="14"/>
      <c r="B228" s="18"/>
      <c r="C228" s="18"/>
      <c r="D228" s="18"/>
      <c r="E228" s="19"/>
      <c r="F228" s="24"/>
      <c r="G228" s="19"/>
      <c r="H228" s="19"/>
      <c r="I228" s="18"/>
      <c r="J228" s="21"/>
    </row>
    <row r="229" spans="1:10" ht="15" customHeight="1">
      <c r="A229" s="14"/>
      <c r="B229" s="32" t="s">
        <v>56</v>
      </c>
      <c r="C229" s="32"/>
      <c r="D229" s="33"/>
      <c r="E229" s="33"/>
      <c r="F229" s="33"/>
      <c r="G229" s="33"/>
      <c r="H229" s="33"/>
      <c r="I229" s="33"/>
      <c r="J229" s="34"/>
    </row>
    <row r="230" spans="1:10" ht="15" customHeight="1">
      <c r="A230" s="14"/>
      <c r="B230" s="22"/>
      <c r="C230" s="22"/>
      <c r="D230" s="22"/>
      <c r="E230" s="22"/>
      <c r="F230" s="22"/>
      <c r="G230" s="22"/>
      <c r="H230" s="22"/>
      <c r="I230" s="22"/>
      <c r="J230" s="22"/>
    </row>
    <row r="231" spans="1:10" ht="15" customHeight="1">
      <c r="A231" s="14"/>
      <c r="B231" s="22" t="s">
        <v>24</v>
      </c>
      <c r="C231" s="22"/>
      <c r="D231" s="22"/>
      <c r="E231" s="22"/>
      <c r="F231" s="22"/>
      <c r="G231" s="22"/>
      <c r="H231" s="22"/>
      <c r="I231" s="22"/>
      <c r="J231" s="22"/>
    </row>
    <row r="232" spans="1:10" ht="15" customHeight="1">
      <c r="A232" s="14"/>
      <c r="B232" s="22"/>
      <c r="C232" s="22"/>
      <c r="D232" s="22"/>
      <c r="E232" s="22"/>
      <c r="F232" s="22"/>
      <c r="G232" s="22"/>
      <c r="H232" s="22"/>
      <c r="I232" s="22"/>
      <c r="J232" s="22"/>
    </row>
    <row r="233" spans="1:10" ht="15" customHeight="1">
      <c r="A233" s="14"/>
      <c r="B233" s="22" t="s">
        <v>97</v>
      </c>
      <c r="C233" s="22"/>
      <c r="D233" s="22"/>
      <c r="E233" s="22"/>
      <c r="G233" s="22"/>
      <c r="H233" s="22"/>
      <c r="J233" s="22"/>
    </row>
    <row r="234" spans="1:10" ht="15" customHeight="1">
      <c r="A234" s="14"/>
      <c r="B234" s="22" t="s">
        <v>57</v>
      </c>
      <c r="C234" s="22"/>
      <c r="D234" s="22"/>
      <c r="E234" s="22"/>
      <c r="G234" s="22"/>
      <c r="H234" s="22"/>
      <c r="J234" s="22"/>
    </row>
    <row r="235" spans="1:10" ht="15" customHeight="1">
      <c r="A235" s="14"/>
      <c r="B235" s="22" t="s">
        <v>98</v>
      </c>
      <c r="C235" s="22"/>
      <c r="D235" s="22"/>
      <c r="E235" s="22"/>
      <c r="F235" s="22"/>
      <c r="G235" s="22"/>
      <c r="H235" s="22"/>
      <c r="I235" s="22"/>
      <c r="J235" s="22"/>
    </row>
    <row r="236" spans="1:10" ht="15" customHeight="1">
      <c r="A236" s="14"/>
      <c r="B236" s="22"/>
      <c r="C236" s="22"/>
      <c r="D236" s="22"/>
      <c r="E236" s="22"/>
      <c r="F236" s="22"/>
      <c r="G236" s="22"/>
      <c r="H236" s="22"/>
      <c r="I236" s="22"/>
      <c r="J236" s="22"/>
    </row>
    <row r="237" spans="1:10" ht="15" customHeight="1">
      <c r="A237" s="14"/>
      <c r="B237" s="22"/>
      <c r="D237" s="14"/>
      <c r="E237" s="22"/>
      <c r="G237" s="22"/>
      <c r="H237" s="22"/>
      <c r="I237" s="22"/>
      <c r="J237" s="22"/>
    </row>
    <row r="238" spans="1:10" ht="15" customHeight="1">
      <c r="A238" s="14"/>
      <c r="B238" s="22"/>
      <c r="E238" s="18"/>
      <c r="G238" s="18"/>
      <c r="H238" s="95"/>
      <c r="I238" s="18"/>
      <c r="J238" s="18"/>
    </row>
    <row r="239" spans="1:10" ht="15" customHeight="1">
      <c r="A239" s="14"/>
      <c r="B239" s="95"/>
      <c r="C239" s="14"/>
      <c r="D239" s="14"/>
      <c r="E239" s="14"/>
      <c r="F239" s="14"/>
      <c r="G239" s="14"/>
      <c r="H239" s="22"/>
      <c r="I239" s="14"/>
      <c r="J239" s="14"/>
    </row>
    <row r="240" spans="1:10" ht="15" customHeight="1">
      <c r="A240" s="14"/>
      <c r="E240" s="14"/>
      <c r="F240" s="135"/>
      <c r="G240" s="14"/>
      <c r="J240" s="14"/>
    </row>
    <row r="241" ht="15" customHeight="1">
      <c r="B241" s="18"/>
    </row>
    <row r="242" ht="15" customHeight="1">
      <c r="B242" s="22"/>
    </row>
    <row r="244" ht="15" customHeight="1">
      <c r="B244" s="26"/>
    </row>
    <row r="245" ht="15" customHeight="1">
      <c r="B245" s="26"/>
    </row>
  </sheetData>
  <sheetProtection password="C786" sheet="1" objects="1" scenarios="1"/>
  <mergeCells count="7">
    <mergeCell ref="B162:J162"/>
    <mergeCell ref="B2:J2"/>
    <mergeCell ref="F120:J120"/>
    <mergeCell ref="A13:J13"/>
    <mergeCell ref="F105:I105"/>
    <mergeCell ref="F106:H106"/>
    <mergeCell ref="B83:J83"/>
  </mergeCells>
  <printOptions/>
  <pageMargins left="0.75" right="0.75" top="0.75" bottom="0.75" header="0.5" footer="0.5"/>
  <pageSetup firstPageNumber="3" useFirstPageNumber="1" fitToHeight="4" fitToWidth="1" horizontalDpi="600" verticalDpi="600" orientation="portrait" scale="78" r:id="rId1"/>
  <headerFooter alignWithMargins="0">
    <oddHeader>&amp;L&amp;9Guidelines: On-Farm Wind Energy Production Costs&amp;R&amp;P</oddHeader>
    <oddFooter>&amp;R&amp;"Arial,Italic"&amp;9MAFRI, GO Team Branch</oddFooter>
  </headerFooter>
  <rowBreaks count="2" manualBreakCount="2">
    <brk id="74" max="255" man="1"/>
    <brk id="128" max="255" man="1"/>
  </rowBreaks>
  <ignoredErrors>
    <ignoredError sqref="G1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3.5 kw wind turbine</dc:title>
  <dc:subject>Cost of Production</dc:subject>
  <dc:creator>MAFRI Staff - Roy Arnott</dc:creator>
  <cp:keywords>Biodiesel, Cost</cp:keywords>
  <dc:description>Contact:
Box 190
Killarney MB
roy.arnott@gov.mb.ca</dc:description>
  <cp:lastModifiedBy>Roy Arnott</cp:lastModifiedBy>
  <cp:lastPrinted>2012-11-22T18:00:31Z</cp:lastPrinted>
  <dcterms:created xsi:type="dcterms:W3CDTF">1999-08-11T21:29:58Z</dcterms:created>
  <dcterms:modified xsi:type="dcterms:W3CDTF">2013-05-28T16:00:06Z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