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Input" sheetId="3" r:id="rId3"/>
    <sheet name="Details" sheetId="4" r:id="rId4"/>
  </sheets>
  <definedNames>
    <definedName name="\A">#REF!</definedName>
    <definedName name="\B">#REF!</definedName>
    <definedName name="\C" localSheetId="0">#REF!</definedName>
    <definedName name="\C">#N/A</definedName>
    <definedName name="\D" localSheetId="0">#REF!</definedName>
    <definedName name="\D">#N/A</definedName>
    <definedName name="\E">#REF!</definedName>
    <definedName name="\F">#REF!</definedName>
    <definedName name="\H" localSheetId="0">#REF!</definedName>
    <definedName name="\H">#N/A</definedName>
    <definedName name="\I" localSheetId="0">#REF!</definedName>
    <definedName name="\I">#N/A</definedName>
    <definedName name="\K" localSheetId="0">#N/A</definedName>
    <definedName name="\K">#N/A</definedName>
    <definedName name="\L">#REF!</definedName>
    <definedName name="\N" localSheetId="0">#REF!</definedName>
    <definedName name="\N">#N/A</definedName>
    <definedName name="\O">#REF!</definedName>
    <definedName name="\P" localSheetId="0">#N/A</definedName>
    <definedName name="\P">#N/A</definedName>
    <definedName name="\R">#REF!</definedName>
    <definedName name="\S" localSheetId="0">#REF!</definedName>
    <definedName name="\S">#N/A</definedName>
    <definedName name="\T">#REF!</definedName>
    <definedName name="\U">#REF!</definedName>
    <definedName name="\W" localSheetId="0">#REF!</definedName>
    <definedName name="\W">#N/A</definedName>
    <definedName name="\X" localSheetId="0">#N/A</definedName>
    <definedName name="\X">#N/A</definedName>
    <definedName name="\Y">#REF!</definedName>
    <definedName name="ALL" localSheetId="0">#N/A</definedName>
    <definedName name="ALL">#N/A</definedName>
    <definedName name="_xlnm.Print_Area" localSheetId="2">'Input'!$A$1:$I$84</definedName>
    <definedName name="_xlnm.Print_Area" localSheetId="0">'Introduction'!$A$1:$I$29</definedName>
    <definedName name="Z_6E930F6D_F725_11D2_92B5_0004ACD86FC2_.wvu.PrintArea" localSheetId="0" hidden="1">'Introduction'!$A$1:$B$24</definedName>
  </definedNames>
  <calcPr fullCalcOnLoad="1"/>
</workbook>
</file>

<file path=xl/comments3.xml><?xml version="1.0" encoding="utf-8"?>
<comments xmlns="http://schemas.openxmlformats.org/spreadsheetml/2006/main">
  <authors>
    <author>Roy Arnott</author>
    <author>Grant Palmer</author>
  </authors>
  <commentList>
    <comment ref="E24" authorId="0">
      <text>
        <r>
          <rPr>
            <sz val="8"/>
            <rFont val="Tahoma"/>
            <family val="2"/>
          </rPr>
          <t>Canola #1 + Canola off grade + vegetable oil must add to 100%</t>
        </r>
      </text>
    </comment>
    <comment ref="B46" authorId="1">
      <text>
        <r>
          <rPr>
            <b/>
            <sz val="9"/>
            <rFont val="Tahoma"/>
            <family val="2"/>
          </rPr>
          <t xml:space="preserve">For a half time position, enter 0.5.  For full time, enter 1.
</t>
        </r>
      </text>
    </comment>
    <comment ref="B16" authorId="1">
      <text>
        <r>
          <rPr>
            <b/>
            <sz val="9"/>
            <rFont val="Tahoma"/>
            <family val="2"/>
          </rPr>
          <t xml:space="preserve">For a half time position, enter 0.5.  For full time, enter 1.
</t>
        </r>
      </text>
    </comment>
    <comment ref="B18" authorId="1">
      <text>
        <r>
          <rPr>
            <b/>
            <sz val="9"/>
            <rFont val="Tahoma"/>
            <family val="2"/>
          </rPr>
          <t xml:space="preserve">For a half time position, enter 0.5.  For full time, enter 1.
</t>
        </r>
      </text>
    </comment>
  </commentList>
</comments>
</file>

<file path=xl/sharedStrings.xml><?xml version="1.0" encoding="utf-8"?>
<sst xmlns="http://schemas.openxmlformats.org/spreadsheetml/2006/main" count="574" uniqueCount="314">
  <si>
    <t/>
  </si>
  <si>
    <t xml:space="preserve">         Total Building Cost</t>
  </si>
  <si>
    <t xml:space="preserve">         Total Machinery &amp; Equipment Cost</t>
  </si>
  <si>
    <t>3.  Depreciation</t>
  </si>
  <si>
    <t xml:space="preserve">    3.01   Buildings</t>
  </si>
  <si>
    <t xml:space="preserve">    3.02   Machinery &amp; Equipment</t>
  </si>
  <si>
    <t>4.  Investment</t>
  </si>
  <si>
    <t xml:space="preserve">    4.01   Buildings</t>
  </si>
  <si>
    <t xml:space="preserve">    4.02   Machinery &amp; Equipment</t>
  </si>
  <si>
    <t>Breakeven price</t>
  </si>
  <si>
    <t>x</t>
  </si>
  <si>
    <t>÷</t>
  </si>
  <si>
    <t>=</t>
  </si>
  <si>
    <t xml:space="preserve">Total </t>
  </si>
  <si>
    <t>Total</t>
  </si>
  <si>
    <t>+</t>
  </si>
  <si>
    <t>-</t>
  </si>
  <si>
    <t>years useful life</t>
  </si>
  <si>
    <t xml:space="preserve">  Machinery &amp; Equipment</t>
  </si>
  <si>
    <t>Your Cost</t>
  </si>
  <si>
    <t>A.  Operating Costs</t>
  </si>
  <si>
    <t>2.  Other Operating Costs</t>
  </si>
  <si>
    <t>Total Operating Costs</t>
  </si>
  <si>
    <t>B.  Fixed Costs</t>
  </si>
  <si>
    <t>Total Fixed Costs</t>
  </si>
  <si>
    <t>Total Operating and Fixed Costs</t>
  </si>
  <si>
    <t>Total Cost of Production</t>
  </si>
  <si>
    <t>Prepared by:</t>
  </si>
  <si>
    <t xml:space="preserve">        A. Operating Costs</t>
  </si>
  <si>
    <t>salvage value</t>
  </si>
  <si>
    <t>average</t>
  </si>
  <si>
    <t>Assumptions</t>
  </si>
  <si>
    <t>Capital Costs</t>
  </si>
  <si>
    <t>Useful Life</t>
  </si>
  <si>
    <t>original cost</t>
  </si>
  <si>
    <t>2</t>
  </si>
  <si>
    <t>subtotal operating costs</t>
  </si>
  <si>
    <t>%</t>
  </si>
  <si>
    <t>3.02  Machinery &amp; Equipment</t>
  </si>
  <si>
    <t>4.01  Buildings</t>
  </si>
  <si>
    <t>4.02  Machinery &amp; Equipment</t>
  </si>
  <si>
    <t>B. Fixed Costs</t>
  </si>
  <si>
    <t>A. Operating Costs</t>
  </si>
  <si>
    <t>Other Operating Costs</t>
  </si>
  <si>
    <t>years</t>
  </si>
  <si>
    <t xml:space="preserve">    Total Capital Investment</t>
  </si>
  <si>
    <t>Original Value</t>
  </si>
  <si>
    <t>Salvage Value</t>
  </si>
  <si>
    <t>Subtotal Operating Costs</t>
  </si>
  <si>
    <t xml:space="preserve">         (Operating interest is charged on one half of the subtotal operating costs)</t>
  </si>
  <si>
    <r>
      <t>Original Cost + Salvage Value</t>
    </r>
    <r>
      <rPr>
        <b/>
        <sz val="12"/>
        <rFont val="Arial"/>
        <family val="2"/>
      </rPr>
      <t xml:space="preserve"> x Investment Rate</t>
    </r>
  </si>
  <si>
    <t>Original Cost - Salvage Value</t>
  </si>
  <si>
    <t>2.  Buildings and equipment are valued at new cost.</t>
  </si>
  <si>
    <t>% investment rate</t>
  </si>
  <si>
    <t xml:space="preserve">   Total </t>
  </si>
  <si>
    <t xml:space="preserve">    Total </t>
  </si>
  <si>
    <t xml:space="preserve">   Total</t>
  </si>
  <si>
    <t>Total Bldg., Mach. &amp; Equip.</t>
  </si>
  <si>
    <t>Total Capital Investment</t>
  </si>
  <si>
    <t>C.  Labour</t>
  </si>
  <si>
    <t>C. Labour</t>
  </si>
  <si>
    <t>Total Cost</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</si>
  <si>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</si>
  <si>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</si>
  <si>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</si>
  <si>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For further information contact your local MAFRI office.</t>
  </si>
  <si>
    <t xml:space="preserve">Business Development Specialist </t>
  </si>
  <si>
    <t xml:space="preserve">        C. Operating &amp; Fixed Costs</t>
  </si>
  <si>
    <t xml:space="preserve">        D. Operating, Fixed &amp; Labour Costs</t>
  </si>
  <si>
    <t>Biodiesel Production Costs - Input</t>
  </si>
  <si>
    <t>1.  This budget outlines the cost of production for a biodiesel operation.</t>
  </si>
  <si>
    <t>3.  All canola feedstock is purchased.</t>
  </si>
  <si>
    <t>4.  All Biodiesel produced is sold in the Manitoba market.</t>
  </si>
  <si>
    <r>
      <t>Disclaimer</t>
    </r>
    <r>
      <rPr>
        <sz val="12"/>
        <rFont val="Tahoma"/>
        <family val="2"/>
      </rPr>
      <t>: This budget is only a guide and is not intended as an in depth study of the cost of production of the Manitoba biodiesel industry. Interpretation and utilization of this information is the responsibility of the user. If you require assistance with developing your individual budget, please contact your local MAFRI Business Development Specialist.</t>
    </r>
  </si>
  <si>
    <t>This guide is designed to provide you with planning information and a format for calculating costs of production of a biodiesel enterprise. Adjustments will be necessary when applying these figures to your own enterprise.</t>
  </si>
  <si>
    <t>The budget estimates are based on a number of assumptions which are clearly defined in the supporting pages.  Input costs are based on industry information. Proper plant management in the production process, marketing, compliance to all applicable environmental requirements, provinical and federal incentive programs is assumed.</t>
  </si>
  <si>
    <t>Canola Oil Production</t>
  </si>
  <si>
    <t>/ year</t>
  </si>
  <si>
    <t>/ hour</t>
  </si>
  <si>
    <t xml:space="preserve"> Plant size - millions of litres</t>
  </si>
  <si>
    <t xml:space="preserve"> Days per year</t>
  </si>
  <si>
    <t xml:space="preserve"> Hours operation per day</t>
  </si>
  <si>
    <t xml:space="preserve"> General Manager</t>
  </si>
  <si>
    <t xml:space="preserve"> Administrative Assistant</t>
  </si>
  <si>
    <t xml:space="preserve"> Employees per shift - biodiesel production</t>
  </si>
  <si>
    <t xml:space="preserve"> Labour Rate</t>
  </si>
  <si>
    <t xml:space="preserve"> kg / L</t>
  </si>
  <si>
    <t xml:space="preserve"> litres</t>
  </si>
  <si>
    <t xml:space="preserve"> / bushel</t>
  </si>
  <si>
    <t xml:space="preserve"> / tonne</t>
  </si>
  <si>
    <t xml:space="preserve"> / litre</t>
  </si>
  <si>
    <t>Vegetable oil required per litre biodiesel</t>
  </si>
  <si>
    <t xml:space="preserve"> Feedstock - Canola #1 grade</t>
  </si>
  <si>
    <t xml:space="preserve"> Feedstock - Canola off grade</t>
  </si>
  <si>
    <t xml:space="preserve"> Feedstock - Vegetable oil</t>
  </si>
  <si>
    <t xml:space="preserve"> Glycerol</t>
  </si>
  <si>
    <t xml:space="preserve"> Methanol</t>
  </si>
  <si>
    <t xml:space="preserve"> Methanol recovery</t>
  </si>
  <si>
    <t xml:space="preserve"> / kWhr</t>
  </si>
  <si>
    <t xml:space="preserve"> Maintenance</t>
  </si>
  <si>
    <t xml:space="preserve"> Insurance</t>
  </si>
  <si>
    <t xml:space="preserve"> Property taxes</t>
  </si>
  <si>
    <t xml:space="preserve">   Buildings </t>
  </si>
  <si>
    <t xml:space="preserve">    Biodiesel plant</t>
  </si>
  <si>
    <t xml:space="preserve">    Canola oil plant</t>
  </si>
  <si>
    <t xml:space="preserve">    Total Bldg., Mach. &amp; Equip </t>
  </si>
  <si>
    <t xml:space="preserve"> Manitoba biodiesel incentive rate</t>
  </si>
  <si>
    <t>Cost/Litre</t>
  </si>
  <si>
    <t xml:space="preserve">    1.02   Methanol</t>
  </si>
  <si>
    <t>1.  Input Costs</t>
  </si>
  <si>
    <t xml:space="preserve">    1.03   Catalyst</t>
  </si>
  <si>
    <t xml:space="preserve"> Misc. Administration</t>
  </si>
  <si>
    <t xml:space="preserve"> / year</t>
  </si>
  <si>
    <t xml:space="preserve">    4.03   Land</t>
  </si>
  <si>
    <t xml:space="preserve"> $/Litre</t>
  </si>
  <si>
    <t>5.  Biodiesel</t>
  </si>
  <si>
    <t xml:space="preserve">    5.03   Estimated Federal Incentive</t>
  </si>
  <si>
    <t>D.  Income</t>
  </si>
  <si>
    <t>Total Income</t>
  </si>
  <si>
    <t xml:space="preserve"> Investment Rate  </t>
  </si>
  <si>
    <t xml:space="preserve"> Operating Interest Rate  </t>
  </si>
  <si>
    <t xml:space="preserve"> Catalyst - potassium hydroxide</t>
  </si>
  <si>
    <t>Biodiesel Plant Production</t>
  </si>
  <si>
    <t xml:space="preserve"> Canola price - #1</t>
  </si>
  <si>
    <t xml:space="preserve"> Canola meal - 34% protein</t>
  </si>
  <si>
    <t xml:space="preserve"> Off grade canola discount</t>
  </si>
  <si>
    <t xml:space="preserve"> Oilseed Crush Manager</t>
  </si>
  <si>
    <t xml:space="preserve"> Employees per shift - canola oil production</t>
  </si>
  <si>
    <t xml:space="preserve"> Canola seed oil content</t>
  </si>
  <si>
    <t xml:space="preserve"> Residual oil in canola meal</t>
  </si>
  <si>
    <t xml:space="preserve"> Residual oil in canola meal (solvent extraction)</t>
  </si>
  <si>
    <t xml:space="preserve"> Canola oil bulk density</t>
  </si>
  <si>
    <t xml:space="preserve"> Barley price - 76% Total Digestible Nutrients</t>
  </si>
  <si>
    <t xml:space="preserve">    1.01   Feedstock - canola oil</t>
  </si>
  <si>
    <t>Biodiesel Production Worksheet</t>
  </si>
  <si>
    <t>1.01  Feedstock - vegetable oil</t>
  </si>
  <si>
    <t>canola seed oil content</t>
  </si>
  <si>
    <t>residual oil in canola meal</t>
  </si>
  <si>
    <t>net oil extraction</t>
  </si>
  <si>
    <t>kg per tonne</t>
  </si>
  <si>
    <t>kg oil per tonne of canola</t>
  </si>
  <si>
    <t xml:space="preserve"> Canola oil bulk density kg/L</t>
  </si>
  <si>
    <t>Litres oil per tonne of canola</t>
  </si>
  <si>
    <t>Biodiesel Plant Capacity - litres</t>
  </si>
  <si>
    <t>oil required per litre biodiesel</t>
  </si>
  <si>
    <t>Feedstock - Canola #1 grade</t>
  </si>
  <si>
    <t>% Feedstock - Canola #1 grade</t>
  </si>
  <si>
    <t>Tonnes of #1 Canola required</t>
  </si>
  <si>
    <t>% Feedstock - Canola off grade</t>
  </si>
  <si>
    <t>Total Tonnes of Canola</t>
  </si>
  <si>
    <t>price per tonne</t>
  </si>
  <si>
    <t>Tonnes #1 Canola required</t>
  </si>
  <si>
    <t>Tonnes off grade Canola req.</t>
  </si>
  <si>
    <t>oil bulk density kg/L</t>
  </si>
  <si>
    <t>% Feedstock - vegetable oil</t>
  </si>
  <si>
    <t>Tonnes vegetable oil</t>
  </si>
  <si>
    <t>Feedstock - vegetable oil</t>
  </si>
  <si>
    <t>net canola meal yield</t>
  </si>
  <si>
    <t>Tonnes canola per day</t>
  </si>
  <si>
    <t>Tonnes canola per hour</t>
  </si>
  <si>
    <t>Days per year - crush</t>
  </si>
  <si>
    <t>Tonnes of off grade Canola req.</t>
  </si>
  <si>
    <t xml:space="preserve"> Labour Rate per hour</t>
  </si>
  <si>
    <t>1.02  Methanol</t>
  </si>
  <si>
    <t>Methanol required</t>
  </si>
  <si>
    <t>Methanol per tonne</t>
  </si>
  <si>
    <t>1.03  Catalyst</t>
  </si>
  <si>
    <t>Catalyst per tonne</t>
  </si>
  <si>
    <t>kg potassium hydroxide /tonne</t>
  </si>
  <si>
    <t>Tonnes canola meal</t>
  </si>
  <si>
    <t>Canola meal - 34% protein</t>
  </si>
  <si>
    <t>Kg extra oil content in meal</t>
  </si>
  <si>
    <t>Residual oil canola meal premium</t>
  </si>
  <si>
    <t xml:space="preserve"> Extra oil meal premium</t>
  </si>
  <si>
    <t>Oil premium payable</t>
  </si>
  <si>
    <t>Canola meal price per tonne</t>
  </si>
  <si>
    <t>Canola meal income</t>
  </si>
  <si>
    <t>Hours operation per day - crush</t>
  </si>
  <si>
    <t>HP per tonne</t>
  </si>
  <si>
    <t>Days per year - biodiesel</t>
  </si>
  <si>
    <t>Canola oil feed value equivalent</t>
  </si>
  <si>
    <t xml:space="preserve">  per tonne (167.28 TDN)</t>
  </si>
  <si>
    <t>Hours per day - biodiesel</t>
  </si>
  <si>
    <t>kWhr per million litre</t>
  </si>
  <si>
    <t xml:space="preserve">Catalyst </t>
  </si>
  <si>
    <t>Methanol</t>
  </si>
  <si>
    <t>Subtotal Feedstock</t>
  </si>
  <si>
    <t>Net Feedstock</t>
  </si>
  <si>
    <t>Oil premium per tonne</t>
  </si>
  <si>
    <t>HP to kilowatts</t>
  </si>
  <si>
    <t>5.  All Biodiesel produced is sold in the Manitoba market.</t>
  </si>
  <si>
    <t>capital cost - buildings</t>
  </si>
  <si>
    <t>capital cost - equipment</t>
  </si>
  <si>
    <t>Total bldg. &amp; equipment</t>
  </si>
  <si>
    <t>Total Maintenance</t>
  </si>
  <si>
    <t>misc. administration</t>
  </si>
  <si>
    <t>Insurance rate</t>
  </si>
  <si>
    <t>Maintenance rate</t>
  </si>
  <si>
    <t>Total Insurance</t>
  </si>
  <si>
    <t>capital cost - land</t>
  </si>
  <si>
    <t>Total bldg. &amp; land</t>
  </si>
  <si>
    <t>Property tax rate</t>
  </si>
  <si>
    <t>Total Property tax</t>
  </si>
  <si>
    <t>Operating Interest</t>
  </si>
  <si>
    <t>% operating interest rate</t>
  </si>
  <si>
    <t>Subtotal Input Cost</t>
  </si>
  <si>
    <t xml:space="preserve"> Employees per shift </t>
  </si>
  <si>
    <t>Subtotal Labour Cost</t>
  </si>
  <si>
    <t xml:space="preserve">    Canola oil</t>
  </si>
  <si>
    <t>Canola oil labour</t>
  </si>
  <si>
    <t xml:space="preserve">    Biodiesel</t>
  </si>
  <si>
    <t>Oilseed Crush Manager</t>
  </si>
  <si>
    <t>General Manager</t>
  </si>
  <si>
    <t>Administrative Assistant</t>
  </si>
  <si>
    <t>Labour</t>
  </si>
  <si>
    <t>Full time job positions</t>
  </si>
  <si>
    <t>price per bushel</t>
  </si>
  <si>
    <t xml:space="preserve">  Buildings</t>
  </si>
  <si>
    <t xml:space="preserve">        Biodiesel Plant</t>
  </si>
  <si>
    <t>Total Land Value</t>
  </si>
  <si>
    <t xml:space="preserve">    Total Land Value</t>
  </si>
  <si>
    <t>3.01  Buildings</t>
  </si>
  <si>
    <t>4.03  Land</t>
  </si>
  <si>
    <t>land</t>
  </si>
  <si>
    <t>5.  Income</t>
  </si>
  <si>
    <t xml:space="preserve">Biodiesel </t>
  </si>
  <si>
    <t>5.02  Estimated Provincial Incentive</t>
  </si>
  <si>
    <t>Manitoba  incentive rate</t>
  </si>
  <si>
    <t>Manitoba Incentive</t>
  </si>
  <si>
    <t>5.03  Estimated Federal Incentive</t>
  </si>
  <si>
    <t xml:space="preserve">    5.03   Glycerol sales</t>
  </si>
  <si>
    <t>5.01  Estimated Biodiesel Sales</t>
  </si>
  <si>
    <t>5.04  Glycerol Sales</t>
  </si>
  <si>
    <t>Tonnes glycerol produced</t>
  </si>
  <si>
    <t>glycerol per tonne</t>
  </si>
  <si>
    <t>Glycerol</t>
  </si>
  <si>
    <t>Federal Incentive</t>
  </si>
  <si>
    <t>Federal Incentive per litre</t>
  </si>
  <si>
    <t>4.  Feedstock cost (vegetable oil) includes the market value of canola meal produced.</t>
  </si>
  <si>
    <t>Biodiesel labour</t>
  </si>
  <si>
    <t>Roy Arnott, P.Ag.</t>
  </si>
  <si>
    <t>Bob Gwyer, P.Ag.</t>
  </si>
  <si>
    <t>Marc Boulanger, P.Ag.</t>
  </si>
  <si>
    <t>Killarney GO Centre 204-523-6424</t>
  </si>
  <si>
    <t>Feedstock - Canola off grade</t>
  </si>
  <si>
    <t xml:space="preserve"> $/Bushel</t>
  </si>
  <si>
    <t>Total Bushels of Canola</t>
  </si>
  <si>
    <t>Minnedosa GO Office 204-868-5322</t>
  </si>
  <si>
    <t>Souris GO Centre 204-483-0458</t>
  </si>
  <si>
    <t>Canola Biodiesel Production Costs</t>
  </si>
  <si>
    <t xml:space="preserve"> Shrinkage in oilseed processing</t>
  </si>
  <si>
    <t>shrinkage in processing</t>
  </si>
  <si>
    <t xml:space="preserve"> CBOT Soybean oil value</t>
  </si>
  <si>
    <t xml:space="preserve"> / pound</t>
  </si>
  <si>
    <t xml:space="preserve"> Soybean oil bulk density</t>
  </si>
  <si>
    <t xml:space="preserve"> CDN</t>
  </si>
  <si>
    <t xml:space="preserve"> US Dollar</t>
  </si>
  <si>
    <t xml:space="preserve"> Federal ecoEnergy  incentive rate</t>
  </si>
  <si>
    <t xml:space="preserve"> Diesel wholesale fuel - #1 ULSD</t>
  </si>
  <si>
    <t xml:space="preserve"> B100 biodiesel wholesale fuel - Iowa</t>
  </si>
  <si>
    <t xml:space="preserve"> / US gallon</t>
  </si>
  <si>
    <t>Wholesale #1 ULSD / litre</t>
  </si>
  <si>
    <t xml:space="preserve"> B100 biodiesel wholesale/gallon  - Iowa</t>
  </si>
  <si>
    <t>US Dollar exchange</t>
  </si>
  <si>
    <t>litres per US gallon</t>
  </si>
  <si>
    <t>B100 wholesale per litre</t>
  </si>
  <si>
    <t>Est. Manitoba B100 value /L</t>
  </si>
  <si>
    <t xml:space="preserve">  or (if less than)</t>
  </si>
  <si>
    <t>95% of Federal ecoEnergy  incentive rate</t>
  </si>
  <si>
    <t>/ test</t>
  </si>
  <si>
    <t xml:space="preserve"> Biodiesel B100 full specification quality testing</t>
  </si>
  <si>
    <t xml:space="preserve">    2.03   Maintenance</t>
  </si>
  <si>
    <t xml:space="preserve">    2.04   Misc. Administration</t>
  </si>
  <si>
    <t xml:space="preserve">    2.05   Insurance</t>
  </si>
  <si>
    <t xml:space="preserve">    2.06   Property Taxes</t>
  </si>
  <si>
    <t xml:space="preserve">    2.02   Biodiesel Quality Testing</t>
  </si>
  <si>
    <t>2.02  Biodiesel Quality Testing</t>
  </si>
  <si>
    <t>tests per year</t>
  </si>
  <si>
    <t>B100 Full Spec ASTM D6751 test</t>
  </si>
  <si>
    <t>B100 Critical Specification test</t>
  </si>
  <si>
    <t>Subtotal Biodiesel Quality Testing</t>
  </si>
  <si>
    <t>2.03  Maintenance</t>
  </si>
  <si>
    <t>2.04  Misc. Administration</t>
  </si>
  <si>
    <t>2.05  Insurance</t>
  </si>
  <si>
    <t>2.06 Property Taxes</t>
  </si>
  <si>
    <t xml:space="preserve"> Miscellaneous expense</t>
  </si>
  <si>
    <t xml:space="preserve">    2.08   Operating Interest</t>
  </si>
  <si>
    <t>2.07 Miscellaneous Expense</t>
  </si>
  <si>
    <t>Miscellaneous expense / litre</t>
  </si>
  <si>
    <t>Total Miscellaneous Expense</t>
  </si>
  <si>
    <t>2.08  Operating Interest</t>
  </si>
  <si>
    <t xml:space="preserve">    2.07   Miscellaneous expense</t>
  </si>
  <si>
    <t xml:space="preserve">    5.02   Estimated Provincial Incentive</t>
  </si>
  <si>
    <t>Net Income</t>
  </si>
  <si>
    <t xml:space="preserve">        B. Operating &amp; Labour Costs</t>
  </si>
  <si>
    <t xml:space="preserve">    5.01   Estimated Biodiesel Sales</t>
  </si>
  <si>
    <t>Tonnes Canola meal</t>
  </si>
  <si>
    <t>Canola oil bulk density kg/L</t>
  </si>
  <si>
    <t xml:space="preserve">        Canola Oil Plant</t>
  </si>
  <si>
    <t xml:space="preserve">                 Useful Life</t>
  </si>
  <si>
    <t>Portion of full time</t>
  </si>
  <si>
    <t>= ecoEnergy Incentive (Eligible sales (L) x Incentive Rate ($/L))</t>
  </si>
  <si>
    <t xml:space="preserve"> Electricity</t>
  </si>
  <si>
    <t>2.01  Electricity</t>
  </si>
  <si>
    <t>Electricity rate - kWhr</t>
  </si>
  <si>
    <t>Subtotal Electricity - crush</t>
  </si>
  <si>
    <t>Subtotal Electricity - biodiesel</t>
  </si>
  <si>
    <t>Electricity</t>
  </si>
  <si>
    <t xml:space="preserve">    2.01   Electricity</t>
  </si>
  <si>
    <t>Biodiesel Plant Capacity -  million litres</t>
  </si>
  <si>
    <t>May, 2011</t>
  </si>
  <si>
    <t>Grant Palmer</t>
  </si>
  <si>
    <t>Policy Economist</t>
  </si>
  <si>
    <t>Policy Analysis Winnipeg 204-391-7512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</si>
</sst>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quot;$&quot;#,##0.0000"/>
    <numFmt numFmtId="170" formatCode="&quot;$&quot;#,##0.00"/>
    <numFmt numFmtId="171" formatCode="0.0"/>
    <numFmt numFmtId="172" formatCode="0.000"/>
    <numFmt numFmtId="173" formatCode="0.00000"/>
    <numFmt numFmtId="174" formatCode="&quot;$&quot;#,##0"/>
    <numFmt numFmtId="175" formatCode="0.0%"/>
    <numFmt numFmtId="176" formatCode="&quot;$&quot;#,##0.000"/>
    <numFmt numFmtId="177" formatCode="#,##0.0_);[Red]\(#,##0.0\)"/>
    <numFmt numFmtId="178" formatCode="_-&quot;£&quot;* #,##0_-;\-&quot;£&quot;* #,##0_-;_-&quot;£&quot;* &quot;-&quot;_-;_-@_-"/>
    <numFmt numFmtId="179" formatCode="_-&quot;£&quot;* #,##0.00_-;\-&quot;£&quot;* #,##0.00_-;_-&quot;£&quot;* &quot;-&quot;??_-;_-@_-"/>
    <numFmt numFmtId="180" formatCode="#,##0.000_);[Red]\(#,##0.000\)"/>
    <numFmt numFmtId="181" formatCode="#,##0.00000"/>
    <numFmt numFmtId="182" formatCode="&quot;$&quot;#,##0.0000_);[Red]\(&quot;$&quot;#,##0.0000\)"/>
    <numFmt numFmtId="183" formatCode="&quot;$&quot;#,##0.000_);[Red]\(&quot;$&quot;#,##0.000\)"/>
    <numFmt numFmtId="184" formatCode="&quot;$&quot;#,##0.00000"/>
  </numFmts>
  <fonts count="61">
    <font>
      <sz val="12"/>
      <name val="Arial"/>
      <family val="0"/>
    </font>
    <font>
      <sz val="11"/>
      <color indexed="8"/>
      <name val="Calibri"/>
      <family val="2"/>
    </font>
    <font>
      <u val="single"/>
      <sz val="12"/>
      <name val="Arial"/>
      <family val="2"/>
    </font>
    <font>
      <b/>
      <sz val="14"/>
      <color indexed="18"/>
      <name val="Arial"/>
      <family val="2"/>
    </font>
    <font>
      <b/>
      <sz val="12"/>
      <name val="Arial"/>
      <family val="2"/>
    </font>
    <font>
      <b/>
      <u val="single"/>
      <sz val="12"/>
      <name val="Arial"/>
      <family val="2"/>
    </font>
    <font>
      <b/>
      <sz val="12"/>
      <color indexed="12"/>
      <name val="Arial"/>
      <family val="2"/>
    </font>
    <font>
      <sz val="14"/>
      <name val="Arial"/>
      <family val="2"/>
    </font>
    <font>
      <b/>
      <sz val="10"/>
      <color indexed="12"/>
      <name val="Arial"/>
      <family val="2"/>
    </font>
    <font>
      <b/>
      <u val="single"/>
      <sz val="14"/>
      <name val="Arial"/>
      <family val="2"/>
    </font>
    <font>
      <b/>
      <sz val="12"/>
      <color indexed="56"/>
      <name val="Arial"/>
      <family val="2"/>
    </font>
    <font>
      <b/>
      <sz val="14"/>
      <name val="Arial"/>
      <family val="2"/>
    </font>
    <font>
      <sz val="14"/>
      <color indexed="18"/>
      <name val="Arial"/>
      <family val="2"/>
    </font>
    <font>
      <b/>
      <u val="single"/>
      <sz val="12"/>
      <color indexed="12"/>
      <name val="Arial"/>
      <family val="2"/>
    </font>
    <font>
      <b/>
      <i/>
      <sz val="12"/>
      <name val="Arial"/>
      <family val="2"/>
    </font>
    <font>
      <sz val="10"/>
      <name val="Arial"/>
      <family val="2"/>
    </font>
    <font>
      <sz val="10"/>
      <color indexed="12"/>
      <name val="Arial"/>
      <family val="2"/>
    </font>
    <font>
      <b/>
      <sz val="10"/>
      <name val="Arial"/>
      <family val="2"/>
    </font>
    <font>
      <sz val="12"/>
      <color indexed="10"/>
      <name val="Arial"/>
      <family val="2"/>
    </font>
    <font>
      <sz val="8"/>
      <name val="Tahoma"/>
      <family val="2"/>
    </font>
    <font>
      <sz val="8"/>
      <name val="Arial"/>
      <family val="2"/>
    </font>
    <font>
      <b/>
      <sz val="12"/>
      <color indexed="10"/>
      <name val="Arial"/>
      <family val="2"/>
    </font>
    <font>
      <sz val="12"/>
      <name val="Tahoma"/>
      <family val="2"/>
    </font>
    <font>
      <b/>
      <sz val="12"/>
      <name val="Tahoma"/>
      <family val="2"/>
    </font>
    <font>
      <sz val="18"/>
      <color indexed="18"/>
      <name val="Tahoma"/>
      <family val="2"/>
    </font>
    <font>
      <b/>
      <sz val="22"/>
      <color indexed="18"/>
      <name val="Tahoma"/>
      <family val="2"/>
    </font>
    <font>
      <i/>
      <sz val="12"/>
      <name val="Arial"/>
      <family val="2"/>
    </font>
    <font>
      <b/>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s>
  <cellStyleXfs count="8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77" fontId="0" fillId="0" borderId="0">
      <alignment/>
      <protection/>
    </xf>
    <xf numFmtId="177" fontId="6" fillId="0" borderId="0">
      <alignment/>
      <protection locked="0"/>
    </xf>
    <xf numFmtId="40" fontId="0" fillId="0" borderId="0">
      <alignment/>
      <protection/>
    </xf>
    <xf numFmtId="40" fontId="6" fillId="0" borderId="0">
      <alignment/>
      <protection locked="0"/>
    </xf>
    <xf numFmtId="166" fontId="0" fillId="0" borderId="0">
      <alignment horizontal="right" vertical="justify"/>
      <protection/>
    </xf>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170" fontId="0" fillId="0" borderId="0">
      <alignment vertical="top"/>
      <protection/>
    </xf>
    <xf numFmtId="0" fontId="0" fillId="32" borderId="7" applyNumberFormat="0" applyFont="0" applyAlignment="0" applyProtection="0"/>
    <xf numFmtId="38" fontId="15" fillId="33" borderId="8">
      <alignment/>
      <protection/>
    </xf>
    <xf numFmtId="38" fontId="16" fillId="0" borderId="8">
      <alignment/>
      <protection locked="0"/>
    </xf>
    <xf numFmtId="177" fontId="15" fillId="34" borderId="8">
      <alignment/>
      <protection/>
    </xf>
    <xf numFmtId="177" fontId="16" fillId="0" borderId="8">
      <alignment/>
      <protection locked="0"/>
    </xf>
    <xf numFmtId="40" fontId="15" fillId="34" borderId="8">
      <alignment/>
      <protection/>
    </xf>
    <xf numFmtId="40" fontId="16" fillId="0" borderId="8">
      <alignment/>
      <protection locked="0"/>
    </xf>
    <xf numFmtId="0" fontId="56" fillId="27" borderId="9" applyNumberFormat="0" applyAlignment="0" applyProtection="0"/>
    <xf numFmtId="9" fontId="15" fillId="0" borderId="0" applyFont="0" applyFill="0" applyBorder="0" applyAlignment="0" applyProtection="0"/>
    <xf numFmtId="10" fontId="0" fillId="0" borderId="0">
      <alignment/>
      <protection/>
    </xf>
    <xf numFmtId="10" fontId="16" fillId="35" borderId="8">
      <alignment/>
      <protection locked="0"/>
    </xf>
    <xf numFmtId="0" fontId="15" fillId="36" borderId="0">
      <alignment/>
      <protection/>
    </xf>
    <xf numFmtId="0" fontId="57" fillId="0" borderId="0" applyNumberFormat="0" applyFill="0" applyBorder="0" applyAlignment="0" applyProtection="0"/>
    <xf numFmtId="0" fontId="58" fillId="0" borderId="10"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59" fillId="0" borderId="0" applyNumberFormat="0" applyFill="0" applyBorder="0" applyAlignment="0" applyProtection="0"/>
  </cellStyleXfs>
  <cellXfs count="225">
    <xf numFmtId="3" fontId="0" fillId="0" borderId="0" xfId="0" applyNumberFormat="1" applyAlignment="1">
      <alignment/>
    </xf>
    <xf numFmtId="170" fontId="0" fillId="0" borderId="0" xfId="65">
      <alignment vertical="top"/>
      <protection/>
    </xf>
    <xf numFmtId="0" fontId="0" fillId="0" borderId="0" xfId="65" applyNumberFormat="1" applyFont="1" applyAlignment="1">
      <alignment horizontal="left" vertical="justify" wrapText="1"/>
      <protection/>
    </xf>
    <xf numFmtId="3" fontId="0" fillId="0" borderId="0" xfId="0" applyNumberFormat="1" applyAlignment="1" applyProtection="1">
      <alignment/>
      <protection/>
    </xf>
    <xf numFmtId="3" fontId="4" fillId="0" borderId="0" xfId="0" applyNumberFormat="1" applyFont="1" applyAlignment="1" applyProtection="1">
      <alignment/>
      <protection/>
    </xf>
    <xf numFmtId="166" fontId="0" fillId="0" borderId="0" xfId="0" applyNumberFormat="1" applyAlignment="1" applyProtection="1">
      <alignment/>
      <protection/>
    </xf>
    <xf numFmtId="166" fontId="5" fillId="0" borderId="0" xfId="0" applyNumberFormat="1" applyFont="1" applyAlignment="1" applyProtection="1">
      <alignment horizontal="right"/>
      <protection/>
    </xf>
    <xf numFmtId="3" fontId="6" fillId="0" borderId="0" xfId="0" applyNumberFormat="1" applyFont="1" applyAlignment="1" applyProtection="1">
      <alignment/>
      <protection/>
    </xf>
    <xf numFmtId="3" fontId="4" fillId="0" borderId="0" xfId="0" applyNumberFormat="1" applyFont="1" applyAlignment="1" applyProtection="1">
      <alignment horizontal="right"/>
      <protection/>
    </xf>
    <xf numFmtId="3" fontId="9" fillId="0" borderId="0" xfId="0" applyNumberFormat="1" applyFont="1" applyAlignment="1" applyProtection="1">
      <alignment horizontal="center"/>
      <protection/>
    </xf>
    <xf numFmtId="3" fontId="10" fillId="0" borderId="0" xfId="0" applyNumberFormat="1" applyFont="1" applyAlignment="1" applyProtection="1">
      <alignment/>
      <protection/>
    </xf>
    <xf numFmtId="174" fontId="4" fillId="0" borderId="0" xfId="0" applyNumberFormat="1" applyFont="1" applyAlignment="1" applyProtection="1">
      <alignment/>
      <protection/>
    </xf>
    <xf numFmtId="174" fontId="0" fillId="0" borderId="0" xfId="0" applyNumberFormat="1" applyAlignment="1" applyProtection="1">
      <alignment/>
      <protection/>
    </xf>
    <xf numFmtId="170" fontId="0" fillId="0" borderId="0" xfId="0" applyNumberFormat="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lignment/>
    </xf>
    <xf numFmtId="0" fontId="11" fillId="0" borderId="0" xfId="0" applyFont="1" applyAlignment="1" applyProtection="1">
      <alignment/>
      <protection/>
    </xf>
    <xf numFmtId="3" fontId="12" fillId="0" borderId="0" xfId="0" applyNumberFormat="1" applyFont="1" applyAlignment="1" applyProtection="1">
      <alignment horizontal="center"/>
      <protection/>
    </xf>
    <xf numFmtId="3" fontId="0" fillId="0" borderId="0" xfId="0" applyNumberFormat="1" applyFont="1" applyAlignment="1" applyProtection="1">
      <alignment/>
      <protection/>
    </xf>
    <xf numFmtId="0" fontId="4" fillId="0" borderId="0" xfId="0" applyFont="1" applyAlignment="1" applyProtection="1">
      <alignment/>
      <protection/>
    </xf>
    <xf numFmtId="4" fontId="0" fillId="0" borderId="0" xfId="0" applyNumberFormat="1" applyFont="1" applyAlignment="1" applyProtection="1">
      <alignment/>
      <protection/>
    </xf>
    <xf numFmtId="3" fontId="0" fillId="0" borderId="11"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170" fontId="4" fillId="0" borderId="0" xfId="0" applyNumberFormat="1" applyFont="1" applyAlignment="1" applyProtection="1">
      <alignment/>
      <protection/>
    </xf>
    <xf numFmtId="166" fontId="2" fillId="0" borderId="0" xfId="0" applyNumberFormat="1" applyFont="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Alignment="1">
      <alignment/>
    </xf>
    <xf numFmtId="174" fontId="0" fillId="0" borderId="0" xfId="0" applyNumberFormat="1" applyFont="1" applyAlignment="1" applyProtection="1">
      <alignment/>
      <protection/>
    </xf>
    <xf numFmtId="164" fontId="0" fillId="0" borderId="0" xfId="0" applyNumberFormat="1" applyFont="1" applyAlignment="1" applyProtection="1">
      <alignment/>
      <protection/>
    </xf>
    <xf numFmtId="3" fontId="4" fillId="0" borderId="0" xfId="0" applyNumberFormat="1" applyFont="1" applyAlignment="1" applyProtection="1">
      <alignment horizontal="center"/>
      <protection/>
    </xf>
    <xf numFmtId="3" fontId="4" fillId="0" borderId="0" xfId="0" applyNumberFormat="1" applyFont="1" applyAlignment="1" applyProtection="1" quotePrefix="1">
      <alignment horizontal="right"/>
      <protection/>
    </xf>
    <xf numFmtId="0" fontId="0" fillId="0" borderId="0" xfId="0" applyFont="1" applyBorder="1" applyAlignment="1" applyProtection="1">
      <alignment/>
      <protection/>
    </xf>
    <xf numFmtId="3" fontId="2" fillId="0" borderId="0" xfId="0" applyNumberFormat="1" applyFont="1" applyAlignment="1" applyProtection="1">
      <alignment/>
      <protection/>
    </xf>
    <xf numFmtId="164" fontId="5" fillId="0" borderId="0" xfId="0" applyNumberFormat="1" applyFont="1" applyAlignment="1" applyProtection="1">
      <alignment horizontal="right"/>
      <protection/>
    </xf>
    <xf numFmtId="174" fontId="2" fillId="0" borderId="0" xfId="0" applyNumberFormat="1" applyFont="1" applyAlignment="1" applyProtection="1">
      <alignment/>
      <protection/>
    </xf>
    <xf numFmtId="3" fontId="0" fillId="0" borderId="12" xfId="0" applyNumberFormat="1" applyFont="1" applyBorder="1" applyAlignment="1" applyProtection="1">
      <alignment/>
      <protection/>
    </xf>
    <xf numFmtId="164" fontId="4" fillId="0" borderId="0" xfId="0" applyNumberFormat="1" applyFont="1" applyAlignment="1" applyProtection="1">
      <alignment/>
      <protection/>
    </xf>
    <xf numFmtId="3" fontId="0" fillId="0" borderId="13" xfId="0" applyNumberFormat="1" applyFont="1" applyBorder="1" applyAlignment="1" applyProtection="1">
      <alignment/>
      <protection/>
    </xf>
    <xf numFmtId="3" fontId="0" fillId="0" borderId="0" xfId="0" applyNumberFormat="1" applyFont="1" applyBorder="1" applyAlignment="1" applyProtection="1">
      <alignment/>
      <protection/>
    </xf>
    <xf numFmtId="3" fontId="5" fillId="0" borderId="0" xfId="0" applyNumberFormat="1" applyFont="1" applyAlignment="1" applyProtection="1">
      <alignment horizontal="left"/>
      <protection/>
    </xf>
    <xf numFmtId="3" fontId="4" fillId="0" borderId="11" xfId="0" applyNumberFormat="1" applyFont="1" applyBorder="1" applyAlignment="1" applyProtection="1">
      <alignment horizontal="right"/>
      <protection/>
    </xf>
    <xf numFmtId="165" fontId="4" fillId="0" borderId="13" xfId="44" applyFont="1" applyBorder="1">
      <alignment/>
      <protection/>
    </xf>
    <xf numFmtId="174" fontId="4" fillId="0" borderId="0" xfId="44" applyNumberFormat="1" applyFont="1">
      <alignment/>
      <protection/>
    </xf>
    <xf numFmtId="174" fontId="0" fillId="0" borderId="0" xfId="44" applyNumberFormat="1">
      <alignment/>
      <protection/>
    </xf>
    <xf numFmtId="164"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3" fontId="15" fillId="0" borderId="0" xfId="0" applyNumberFormat="1" applyFont="1" applyAlignment="1" applyProtection="1">
      <alignment/>
      <protection/>
    </xf>
    <xf numFmtId="175" fontId="6" fillId="0" borderId="0" xfId="0" applyNumberFormat="1" applyFont="1" applyAlignment="1" applyProtection="1">
      <alignment/>
      <protection/>
    </xf>
    <xf numFmtId="166" fontId="6" fillId="0" borderId="0" xfId="0" applyNumberFormat="1" applyFont="1" applyAlignment="1" applyProtection="1">
      <alignment/>
      <protection/>
    </xf>
    <xf numFmtId="3" fontId="13" fillId="0" borderId="0" xfId="0" applyNumberFormat="1" applyFont="1" applyAlignment="1" applyProtection="1">
      <alignment horizontal="left"/>
      <protection/>
    </xf>
    <xf numFmtId="170" fontId="0" fillId="0" borderId="0" xfId="65" applyAlignment="1">
      <alignment horizontal="left" vertical="top"/>
      <protection/>
    </xf>
    <xf numFmtId="3" fontId="0" fillId="0" borderId="0" xfId="0" applyNumberFormat="1" applyAlignment="1">
      <alignment vertical="top"/>
    </xf>
    <xf numFmtId="174" fontId="0" fillId="0" borderId="0" xfId="48" applyNumberFormat="1">
      <alignment/>
      <protection/>
    </xf>
    <xf numFmtId="174" fontId="0" fillId="0" borderId="0" xfId="48" applyNumberFormat="1" applyBorder="1">
      <alignment/>
      <protection/>
    </xf>
    <xf numFmtId="3" fontId="21" fillId="0" borderId="0" xfId="0" applyNumberFormat="1" applyFont="1" applyAlignment="1">
      <alignment/>
    </xf>
    <xf numFmtId="170" fontId="18" fillId="0" borderId="0" xfId="65" applyFont="1" applyAlignment="1" applyProtection="1">
      <alignment vertical="top"/>
      <protection locked="0"/>
    </xf>
    <xf numFmtId="3" fontId="0" fillId="0" borderId="0" xfId="0" applyNumberFormat="1" applyAlignment="1" applyProtection="1">
      <alignment vertical="top"/>
      <protection locked="0"/>
    </xf>
    <xf numFmtId="170" fontId="23" fillId="0" borderId="0" xfId="65" applyFont="1" applyAlignment="1">
      <alignment horizontal="right" vertical="top"/>
      <protection/>
    </xf>
    <xf numFmtId="17" fontId="23" fillId="0" borderId="0" xfId="65" applyNumberFormat="1" applyFont="1" applyAlignment="1">
      <alignment horizontal="right" vertical="top"/>
      <protection/>
    </xf>
    <xf numFmtId="166" fontId="4" fillId="0" borderId="0" xfId="0" applyNumberFormat="1" applyFont="1" applyBorder="1" applyAlignment="1" applyProtection="1">
      <alignment horizontal="right"/>
      <protection/>
    </xf>
    <xf numFmtId="3" fontId="11" fillId="0" borderId="0" xfId="0" applyNumberFormat="1" applyFont="1" applyAlignment="1" applyProtection="1">
      <alignment/>
      <protection/>
    </xf>
    <xf numFmtId="3" fontId="11" fillId="0" borderId="0" xfId="0" applyNumberFormat="1" applyFont="1" applyAlignment="1">
      <alignment/>
    </xf>
    <xf numFmtId="3" fontId="2" fillId="0" borderId="0" xfId="46" applyNumberFormat="1" applyFont="1">
      <alignment/>
      <protection/>
    </xf>
    <xf numFmtId="174" fontId="4" fillId="0" borderId="0" xfId="46" applyNumberFormat="1" applyFont="1">
      <alignment/>
      <protection/>
    </xf>
    <xf numFmtId="3" fontId="26" fillId="0" borderId="0" xfId="0" applyNumberFormat="1" applyFont="1" applyAlignment="1" applyProtection="1">
      <alignment/>
      <protection/>
    </xf>
    <xf numFmtId="169" fontId="12" fillId="0" borderId="0" xfId="0" applyNumberFormat="1" applyFont="1" applyAlignment="1" applyProtection="1">
      <alignment horizontal="center"/>
      <protection/>
    </xf>
    <xf numFmtId="169" fontId="5" fillId="0" borderId="0" xfId="0" applyNumberFormat="1" applyFont="1" applyBorder="1" applyAlignment="1" applyProtection="1">
      <alignment horizontal="right"/>
      <protection/>
    </xf>
    <xf numFmtId="169" fontId="0" fillId="0" borderId="0" xfId="0" applyNumberFormat="1" applyFont="1" applyAlignment="1" applyProtection="1">
      <alignment/>
      <protection/>
    </xf>
    <xf numFmtId="169" fontId="0" fillId="0" borderId="0" xfId="52" applyNumberFormat="1">
      <alignment/>
      <protection/>
    </xf>
    <xf numFmtId="169" fontId="4" fillId="0" borderId="0" xfId="46" applyNumberFormat="1" applyFont="1">
      <alignment/>
      <protection/>
    </xf>
    <xf numFmtId="169" fontId="4" fillId="0" borderId="0" xfId="0" applyNumberFormat="1" applyFont="1" applyAlignment="1" applyProtection="1">
      <alignment/>
      <protection/>
    </xf>
    <xf numFmtId="169" fontId="0" fillId="0" borderId="13" xfId="0" applyNumberFormat="1" applyFont="1" applyBorder="1" applyAlignment="1" applyProtection="1">
      <alignment/>
      <protection/>
    </xf>
    <xf numFmtId="169" fontId="0" fillId="0" borderId="0" xfId="46" applyNumberFormat="1">
      <alignment/>
      <protection/>
    </xf>
    <xf numFmtId="169" fontId="0" fillId="0" borderId="0" xfId="0" applyNumberFormat="1" applyFont="1" applyBorder="1" applyAlignment="1" applyProtection="1">
      <alignment/>
      <protection/>
    </xf>
    <xf numFmtId="169" fontId="7" fillId="0" borderId="0" xfId="0" applyNumberFormat="1" applyFont="1" applyAlignment="1">
      <alignment/>
    </xf>
    <xf numFmtId="0" fontId="0" fillId="0" borderId="0" xfId="0" applyFont="1" applyBorder="1" applyAlignment="1">
      <alignment vertical="top"/>
    </xf>
    <xf numFmtId="3" fontId="0" fillId="0" borderId="0" xfId="0" applyNumberFormat="1" applyFont="1" applyBorder="1" applyAlignment="1" applyProtection="1">
      <alignment/>
      <protection/>
    </xf>
    <xf numFmtId="169" fontId="4" fillId="0" borderId="0" xfId="52" applyNumberFormat="1" applyFont="1">
      <alignment/>
      <protection/>
    </xf>
    <xf numFmtId="3" fontId="4" fillId="0" borderId="11" xfId="0" applyNumberFormat="1" applyFont="1" applyBorder="1" applyAlignment="1" applyProtection="1">
      <alignment/>
      <protection/>
    </xf>
    <xf numFmtId="3" fontId="4" fillId="0" borderId="0" xfId="0" applyNumberFormat="1" applyFont="1" applyAlignment="1">
      <alignment/>
    </xf>
    <xf numFmtId="0" fontId="0" fillId="0" borderId="0" xfId="0" applyNumberFormat="1" applyFont="1" applyAlignment="1" applyProtection="1">
      <alignment/>
      <protection/>
    </xf>
    <xf numFmtId="38" fontId="6" fillId="0" borderId="0" xfId="49" applyProtection="1">
      <alignment/>
      <protection locked="0"/>
    </xf>
    <xf numFmtId="38" fontId="6" fillId="0" borderId="0" xfId="53" applyNumberFormat="1" applyProtection="1">
      <alignment/>
      <protection locked="0"/>
    </xf>
    <xf numFmtId="174" fontId="6" fillId="0" borderId="0" xfId="47" applyNumberFormat="1" applyProtection="1">
      <alignment/>
      <protection locked="0"/>
    </xf>
    <xf numFmtId="170" fontId="6" fillId="0" borderId="0" xfId="47" applyNumberFormat="1" applyProtection="1">
      <alignment/>
      <protection locked="0"/>
    </xf>
    <xf numFmtId="170" fontId="6" fillId="0" borderId="0" xfId="47" applyNumberFormat="1" applyProtection="1">
      <alignment/>
      <protection/>
    </xf>
    <xf numFmtId="3" fontId="6" fillId="0" borderId="0" xfId="47" applyNumberFormat="1" applyProtection="1">
      <alignment/>
      <protection/>
    </xf>
    <xf numFmtId="40" fontId="6" fillId="0" borderId="0" xfId="53" applyProtection="1">
      <alignment/>
      <protection/>
    </xf>
    <xf numFmtId="180" fontId="6" fillId="0" borderId="0" xfId="53" applyNumberFormat="1" applyProtection="1">
      <alignment/>
      <protection/>
    </xf>
    <xf numFmtId="174" fontId="4" fillId="0" borderId="0" xfId="48" applyNumberFormat="1" applyFont="1" applyProtection="1">
      <alignment/>
      <protection/>
    </xf>
    <xf numFmtId="177" fontId="4" fillId="0" borderId="0" xfId="49" applyNumberFormat="1" applyFont="1" applyProtection="1">
      <alignment/>
      <protection/>
    </xf>
    <xf numFmtId="174" fontId="4" fillId="0" borderId="0" xfId="44" applyNumberFormat="1" applyFont="1" applyProtection="1">
      <alignment/>
      <protection/>
    </xf>
    <xf numFmtId="3" fontId="4" fillId="0" borderId="0" xfId="44" applyNumberFormat="1" applyFont="1" applyProtection="1">
      <alignment/>
      <protection/>
    </xf>
    <xf numFmtId="181" fontId="6" fillId="0" borderId="0" xfId="47" applyNumberFormat="1" applyProtection="1">
      <alignment/>
      <protection locked="0"/>
    </xf>
    <xf numFmtId="3" fontId="6" fillId="0" borderId="0" xfId="47" applyNumberFormat="1" applyProtection="1">
      <alignment/>
      <protection locked="0"/>
    </xf>
    <xf numFmtId="165" fontId="6" fillId="0" borderId="0" xfId="53" applyNumberFormat="1" applyProtection="1">
      <alignment/>
      <protection locked="0"/>
    </xf>
    <xf numFmtId="3" fontId="6" fillId="0" borderId="0" xfId="0" applyNumberFormat="1" applyFont="1" applyAlignment="1" applyProtection="1">
      <alignment/>
      <protection locked="0"/>
    </xf>
    <xf numFmtId="177" fontId="6" fillId="0" borderId="0" xfId="53" applyNumberFormat="1" applyProtection="1">
      <alignment/>
      <protection locked="0"/>
    </xf>
    <xf numFmtId="180" fontId="6" fillId="0" borderId="0" xfId="53" applyNumberFormat="1" applyProtection="1">
      <alignment/>
      <protection locked="0"/>
    </xf>
    <xf numFmtId="168" fontId="6" fillId="0" borderId="0" xfId="0" applyNumberFormat="1" applyFont="1" applyAlignment="1" applyProtection="1">
      <alignment/>
      <protection locked="0"/>
    </xf>
    <xf numFmtId="170" fontId="0" fillId="0" borderId="0" xfId="0" applyNumberFormat="1" applyAlignment="1" applyProtection="1">
      <alignment/>
      <protection locked="0"/>
    </xf>
    <xf numFmtId="174" fontId="6" fillId="0" borderId="0" xfId="45" applyNumberFormat="1" applyProtection="1">
      <alignment/>
      <protection locked="0"/>
    </xf>
    <xf numFmtId="174" fontId="6" fillId="0" borderId="0" xfId="44" applyNumberFormat="1" applyFont="1" applyProtection="1">
      <alignment/>
      <protection locked="0"/>
    </xf>
    <xf numFmtId="184" fontId="6" fillId="0" borderId="0" xfId="47" applyNumberFormat="1" applyProtection="1">
      <alignment/>
      <protection locked="0"/>
    </xf>
    <xf numFmtId="40" fontId="6" fillId="0" borderId="0" xfId="53" applyNumberFormat="1" applyProtection="1">
      <alignment/>
      <protection locked="0"/>
    </xf>
    <xf numFmtId="182" fontId="6" fillId="0" borderId="0" xfId="53" applyNumberFormat="1" applyFill="1" applyProtection="1">
      <alignment/>
      <protection locked="0"/>
    </xf>
    <xf numFmtId="167" fontId="6" fillId="0" borderId="0" xfId="53" applyNumberFormat="1" applyFill="1" applyProtection="1">
      <alignment/>
      <protection locked="0"/>
    </xf>
    <xf numFmtId="183" fontId="6" fillId="0" borderId="0" xfId="53" applyNumberFormat="1" applyFill="1" applyProtection="1">
      <alignment/>
      <protection locked="0"/>
    </xf>
    <xf numFmtId="169" fontId="0" fillId="0" borderId="0" xfId="52" applyNumberFormat="1" applyFont="1">
      <alignment/>
      <protection/>
    </xf>
    <xf numFmtId="174" fontId="0" fillId="0" borderId="0" xfId="48" applyNumberFormat="1" applyFont="1">
      <alignment/>
      <protection/>
    </xf>
    <xf numFmtId="167" fontId="6" fillId="0" borderId="0" xfId="53" applyNumberFormat="1" applyFill="1" applyProtection="1">
      <alignment/>
      <protection/>
    </xf>
    <xf numFmtId="165" fontId="6" fillId="0" borderId="0" xfId="53" applyNumberFormat="1" applyFill="1" applyProtection="1">
      <alignment/>
      <protection locked="0"/>
    </xf>
    <xf numFmtId="38" fontId="6" fillId="0" borderId="0" xfId="53" applyNumberFormat="1" applyFill="1" applyProtection="1">
      <alignment/>
      <protection locked="0"/>
    </xf>
    <xf numFmtId="169" fontId="4" fillId="0" borderId="0" xfId="46" applyNumberFormat="1" applyFont="1" applyFill="1">
      <alignment/>
      <protection/>
    </xf>
    <xf numFmtId="3" fontId="7" fillId="0" borderId="0" xfId="0" applyNumberFormat="1" applyFont="1" applyAlignment="1" applyProtection="1">
      <alignment horizontal="center"/>
      <protection/>
    </xf>
    <xf numFmtId="0" fontId="0" fillId="0" borderId="0" xfId="0" applyFont="1" applyAlignment="1" applyProtection="1" quotePrefix="1">
      <alignment/>
      <protection/>
    </xf>
    <xf numFmtId="169" fontId="0" fillId="0" borderId="11" xfId="52" applyNumberFormat="1" applyBorder="1">
      <alignment/>
      <protection/>
    </xf>
    <xf numFmtId="174" fontId="0" fillId="0" borderId="11" xfId="48" applyNumberFormat="1" applyFont="1" applyBorder="1">
      <alignment/>
      <protection/>
    </xf>
    <xf numFmtId="174" fontId="4" fillId="0" borderId="0" xfId="44" applyNumberFormat="1" applyFont="1" applyBorder="1">
      <alignment/>
      <protection/>
    </xf>
    <xf numFmtId="169" fontId="4" fillId="0" borderId="11" xfId="46" applyNumberFormat="1" applyFont="1" applyBorder="1">
      <alignment/>
      <protection/>
    </xf>
    <xf numFmtId="174" fontId="4" fillId="0" borderId="11" xfId="44" applyNumberFormat="1" applyFont="1" applyBorder="1">
      <alignment/>
      <protection/>
    </xf>
    <xf numFmtId="169" fontId="0" fillId="0" borderId="11" xfId="52" applyNumberFormat="1" applyFont="1" applyBorder="1">
      <alignment/>
      <protection/>
    </xf>
    <xf numFmtId="169" fontId="4" fillId="0" borderId="11" xfId="0" applyNumberFormat="1" applyFont="1" applyBorder="1" applyAlignment="1" applyProtection="1">
      <alignment horizontal="right"/>
      <protection/>
    </xf>
    <xf numFmtId="3" fontId="7" fillId="0" borderId="0" xfId="0" applyNumberFormat="1" applyFont="1" applyBorder="1" applyAlignment="1" applyProtection="1">
      <alignment/>
      <protection/>
    </xf>
    <xf numFmtId="3" fontId="9" fillId="0" borderId="0" xfId="0" applyNumberFormat="1" applyFont="1" applyBorder="1" applyAlignment="1" applyProtection="1">
      <alignment horizontal="center"/>
      <protection/>
    </xf>
    <xf numFmtId="3" fontId="0" fillId="0" borderId="0" xfId="0" applyNumberForma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174" fontId="0" fillId="0" borderId="0" xfId="44" applyNumberFormat="1" applyBorder="1">
      <alignment/>
      <protection/>
    </xf>
    <xf numFmtId="174" fontId="2" fillId="0" borderId="0" xfId="44" applyNumberFormat="1" applyFont="1" applyBorder="1">
      <alignment/>
      <protection/>
    </xf>
    <xf numFmtId="174" fontId="0" fillId="0" borderId="0" xfId="0" applyNumberFormat="1" applyFont="1" applyBorder="1" applyAlignment="1" applyProtection="1">
      <alignment/>
      <protection/>
    </xf>
    <xf numFmtId="3" fontId="5" fillId="0" borderId="0" xfId="0" applyNumberFormat="1" applyFont="1" applyBorder="1" applyAlignment="1" applyProtection="1">
      <alignment horizontal="left"/>
      <protection/>
    </xf>
    <xf numFmtId="3" fontId="4" fillId="0" borderId="0" xfId="0" applyNumberFormat="1" applyFont="1" applyBorder="1" applyAlignment="1" applyProtection="1">
      <alignment horizontal="center"/>
      <protection/>
    </xf>
    <xf numFmtId="3" fontId="14" fillId="0" borderId="0" xfId="0" applyNumberFormat="1" applyFont="1" applyBorder="1" applyAlignment="1" applyProtection="1">
      <alignment/>
      <protection/>
    </xf>
    <xf numFmtId="3" fontId="7" fillId="0" borderId="0" xfId="0" applyNumberFormat="1" applyFont="1" applyBorder="1" applyAlignment="1">
      <alignment/>
    </xf>
    <xf numFmtId="175" fontId="0" fillId="0" borderId="0" xfId="52" applyNumberFormat="1" applyBorder="1">
      <alignment/>
      <protection/>
    </xf>
    <xf numFmtId="175" fontId="4" fillId="0" borderId="0" xfId="46" applyNumberFormat="1" applyFont="1" applyBorder="1">
      <alignment/>
      <protection/>
    </xf>
    <xf numFmtId="3" fontId="0" fillId="0" borderId="0" xfId="46" applyNumberFormat="1" applyFont="1" applyBorder="1">
      <alignment/>
      <protection/>
    </xf>
    <xf numFmtId="171" fontId="4" fillId="0" borderId="0" xfId="46" applyNumberFormat="1" applyFont="1" applyBorder="1">
      <alignment/>
      <protection/>
    </xf>
    <xf numFmtId="172" fontId="0" fillId="0" borderId="0" xfId="46" applyNumberFormat="1" applyFont="1" applyBorder="1">
      <alignment/>
      <protection/>
    </xf>
    <xf numFmtId="2" fontId="4" fillId="0" borderId="0" xfId="46" applyNumberFormat="1" applyFont="1" applyBorder="1">
      <alignment/>
      <protection/>
    </xf>
    <xf numFmtId="173" fontId="0" fillId="0" borderId="0" xfId="46" applyNumberFormat="1" applyFont="1" applyBorder="1">
      <alignment/>
      <protection/>
    </xf>
    <xf numFmtId="2" fontId="0" fillId="0" borderId="0" xfId="46" applyNumberFormat="1" applyFont="1" applyBorder="1">
      <alignment/>
      <protection/>
    </xf>
    <xf numFmtId="170" fontId="0" fillId="0" borderId="0" xfId="46" applyNumberFormat="1" applyFont="1" applyBorder="1">
      <alignment/>
      <protection/>
    </xf>
    <xf numFmtId="174" fontId="4" fillId="0" borderId="0" xfId="46" applyNumberFormat="1" applyFont="1" applyBorder="1">
      <alignment/>
      <protection/>
    </xf>
    <xf numFmtId="3" fontId="4" fillId="0" borderId="0" xfId="46" applyNumberFormat="1" applyFont="1" applyBorder="1">
      <alignment/>
      <protection/>
    </xf>
    <xf numFmtId="1" fontId="2" fillId="0" borderId="0" xfId="46" applyNumberFormat="1" applyFont="1" applyBorder="1">
      <alignment/>
      <protection/>
    </xf>
    <xf numFmtId="3" fontId="2" fillId="0" borderId="0" xfId="46" applyNumberFormat="1" applyFont="1" applyBorder="1">
      <alignment/>
      <protection/>
    </xf>
    <xf numFmtId="170" fontId="0" fillId="0" borderId="0" xfId="0" applyNumberFormat="1" applyFont="1" applyBorder="1" applyAlignment="1">
      <alignment/>
    </xf>
    <xf numFmtId="168" fontId="4" fillId="0" borderId="0" xfId="46" applyNumberFormat="1" applyFont="1" applyBorder="1">
      <alignment/>
      <protection/>
    </xf>
    <xf numFmtId="9" fontId="0" fillId="0" borderId="0" xfId="0" applyNumberFormat="1" applyFont="1" applyBorder="1" applyAlignment="1" applyProtection="1">
      <alignment/>
      <protection/>
    </xf>
    <xf numFmtId="9" fontId="0" fillId="0" borderId="0" xfId="52" applyNumberFormat="1" applyBorder="1">
      <alignment/>
      <protection/>
    </xf>
    <xf numFmtId="2" fontId="0" fillId="0" borderId="0" xfId="0" applyNumberFormat="1" applyFont="1" applyBorder="1" applyAlignment="1" applyProtection="1">
      <alignment/>
      <protection/>
    </xf>
    <xf numFmtId="170" fontId="4" fillId="0" borderId="0" xfId="46" applyNumberFormat="1" applyFont="1" applyBorder="1">
      <alignment/>
      <protection/>
    </xf>
    <xf numFmtId="168" fontId="0" fillId="0" borderId="0" xfId="46" applyNumberFormat="1" applyFont="1" applyBorder="1">
      <alignment/>
      <protection/>
    </xf>
    <xf numFmtId="4" fontId="0" fillId="0" borderId="0" xfId="46" applyNumberFormat="1" applyFont="1" applyBorder="1">
      <alignment/>
      <protection/>
    </xf>
    <xf numFmtId="176" fontId="0" fillId="0" borderId="0" xfId="46" applyNumberFormat="1" applyFont="1" applyBorder="1">
      <alignment/>
      <protection/>
    </xf>
    <xf numFmtId="168" fontId="0" fillId="0" borderId="0" xfId="0" applyNumberFormat="1" applyFont="1" applyBorder="1" applyAlignment="1" applyProtection="1">
      <alignment/>
      <protection/>
    </xf>
    <xf numFmtId="174" fontId="4" fillId="0" borderId="0" xfId="0" applyNumberFormat="1" applyFont="1" applyBorder="1" applyAlignment="1" applyProtection="1">
      <alignment/>
      <protection/>
    </xf>
    <xf numFmtId="174" fontId="0" fillId="0" borderId="0" xfId="46" applyNumberFormat="1" applyFont="1" applyBorder="1">
      <alignment/>
      <protection/>
    </xf>
    <xf numFmtId="174" fontId="0" fillId="0" borderId="0" xfId="46" applyNumberFormat="1" applyBorder="1">
      <alignment/>
      <protection/>
    </xf>
    <xf numFmtId="174" fontId="4" fillId="0" borderId="0" xfId="52" applyNumberFormat="1" applyFont="1" applyBorder="1">
      <alignment/>
      <protection/>
    </xf>
    <xf numFmtId="176" fontId="0" fillId="0" borderId="0" xfId="46" applyNumberFormat="1" applyBorder="1">
      <alignment/>
      <protection/>
    </xf>
    <xf numFmtId="4" fontId="0" fillId="0" borderId="0" xfId="48" applyNumberFormat="1" applyBorder="1">
      <alignment/>
      <protection/>
    </xf>
    <xf numFmtId="3" fontId="0" fillId="0" borderId="0" xfId="0" applyNumberFormat="1" applyFont="1" applyBorder="1" applyAlignment="1">
      <alignment/>
    </xf>
    <xf numFmtId="4" fontId="0" fillId="0" borderId="0" xfId="52" applyNumberFormat="1" applyBorder="1">
      <alignment/>
      <protection/>
    </xf>
    <xf numFmtId="168" fontId="4" fillId="0" borderId="0" xfId="50" applyNumberFormat="1" applyFont="1" applyBorder="1">
      <alignment/>
      <protection/>
    </xf>
    <xf numFmtId="169" fontId="0" fillId="0" borderId="0" xfId="46" applyNumberFormat="1" applyFont="1" applyBorder="1">
      <alignment/>
      <protection/>
    </xf>
    <xf numFmtId="9" fontId="6" fillId="0" borderId="0" xfId="74" applyFont="1" applyAlignment="1" applyProtection="1">
      <alignment/>
      <protection locked="0"/>
    </xf>
    <xf numFmtId="3" fontId="0" fillId="0" borderId="0" xfId="0" applyNumberFormat="1" applyFont="1" applyAlignment="1" applyProtection="1">
      <alignment horizontal="right"/>
      <protection/>
    </xf>
    <xf numFmtId="169" fontId="4" fillId="0" borderId="0" xfId="44" applyNumberFormat="1" applyFont="1">
      <alignment/>
      <protection/>
    </xf>
    <xf numFmtId="174" fontId="0" fillId="0" borderId="11" xfId="48" applyNumberFormat="1" applyBorder="1">
      <alignment/>
      <protection/>
    </xf>
    <xf numFmtId="175" fontId="0" fillId="0" borderId="11" xfId="48" applyNumberFormat="1" applyFont="1" applyBorder="1">
      <alignment/>
      <protection/>
    </xf>
    <xf numFmtId="3" fontId="0" fillId="0" borderId="11" xfId="46" applyNumberFormat="1" applyFont="1" applyBorder="1">
      <alignment/>
      <protection/>
    </xf>
    <xf numFmtId="172" fontId="0" fillId="0" borderId="11" xfId="46" applyNumberFormat="1" applyFont="1" applyBorder="1">
      <alignment/>
      <protection/>
    </xf>
    <xf numFmtId="1" fontId="0" fillId="0" borderId="11" xfId="46" applyNumberFormat="1" applyFont="1" applyBorder="1">
      <alignment/>
      <protection/>
    </xf>
    <xf numFmtId="170" fontId="0" fillId="0" borderId="11" xfId="46" applyNumberFormat="1" applyFont="1" applyBorder="1">
      <alignment/>
      <protection/>
    </xf>
    <xf numFmtId="9" fontId="0" fillId="0" borderId="11" xfId="46" applyNumberFormat="1" applyFont="1" applyBorder="1">
      <alignment/>
      <protection/>
    </xf>
    <xf numFmtId="174" fontId="4" fillId="0" borderId="11" xfId="46" applyNumberFormat="1" applyFont="1" applyBorder="1">
      <alignment/>
      <protection/>
    </xf>
    <xf numFmtId="176" fontId="0" fillId="0" borderId="11" xfId="0" applyNumberFormat="1" applyFont="1" applyBorder="1" applyAlignment="1" applyProtection="1">
      <alignment/>
      <protection/>
    </xf>
    <xf numFmtId="174" fontId="0" fillId="0" borderId="11" xfId="52" applyNumberFormat="1" applyFont="1" applyBorder="1">
      <alignment/>
      <protection/>
    </xf>
    <xf numFmtId="175" fontId="0" fillId="0" borderId="11" xfId="46" applyNumberFormat="1" applyFont="1" applyBorder="1">
      <alignment/>
      <protection/>
    </xf>
    <xf numFmtId="3" fontId="0" fillId="0" borderId="11" xfId="52" applyNumberFormat="1" applyFont="1" applyBorder="1">
      <alignment/>
      <protection/>
    </xf>
    <xf numFmtId="4" fontId="0" fillId="0" borderId="11" xfId="52" applyNumberFormat="1" applyFont="1" applyBorder="1">
      <alignment/>
      <protection/>
    </xf>
    <xf numFmtId="4" fontId="0" fillId="0" borderId="11" xfId="48" applyNumberFormat="1" applyFont="1" applyBorder="1">
      <alignment/>
      <protection/>
    </xf>
    <xf numFmtId="164" fontId="0" fillId="0" borderId="11" xfId="54" applyNumberFormat="1" applyFont="1" applyBorder="1">
      <alignment horizontal="right" vertical="justify"/>
      <protection/>
    </xf>
    <xf numFmtId="169" fontId="0" fillId="0" borderId="11" xfId="46" applyNumberFormat="1" applyFont="1" applyBorder="1">
      <alignment/>
      <protection/>
    </xf>
    <xf numFmtId="174" fontId="0" fillId="0" borderId="11" xfId="46" applyNumberFormat="1" applyFont="1" applyBorder="1">
      <alignment/>
      <protection/>
    </xf>
    <xf numFmtId="0" fontId="0" fillId="0" borderId="11" xfId="0" applyFont="1" applyBorder="1" applyAlignment="1" applyProtection="1">
      <alignment/>
      <protection/>
    </xf>
    <xf numFmtId="0" fontId="4" fillId="0" borderId="11" xfId="0" applyFont="1" applyBorder="1" applyAlignment="1" applyProtection="1">
      <alignment/>
      <protection/>
    </xf>
    <xf numFmtId="3" fontId="0" fillId="0" borderId="11" xfId="0" applyNumberFormat="1" applyBorder="1" applyAlignment="1" applyProtection="1">
      <alignment/>
      <protection/>
    </xf>
    <xf numFmtId="0" fontId="0" fillId="0" borderId="11" xfId="54" applyNumberFormat="1" applyBorder="1">
      <alignment horizontal="right" vertical="justify"/>
      <protection/>
    </xf>
    <xf numFmtId="3" fontId="0" fillId="0" borderId="0" xfId="0" applyNumberFormat="1" applyFont="1" applyAlignment="1" applyProtection="1" quotePrefix="1">
      <alignment/>
      <protection/>
    </xf>
    <xf numFmtId="170" fontId="4" fillId="0" borderId="11" xfId="0" applyNumberFormat="1" applyFont="1" applyBorder="1" applyAlignment="1" applyProtection="1">
      <alignment/>
      <protection/>
    </xf>
    <xf numFmtId="174" fontId="6" fillId="0" borderId="11" xfId="45" applyNumberFormat="1" applyFont="1" applyBorder="1" applyProtection="1">
      <alignment/>
      <protection locked="0"/>
    </xf>
    <xf numFmtId="38" fontId="6" fillId="0" borderId="11" xfId="49" applyFont="1" applyBorder="1" applyProtection="1">
      <alignment/>
      <protection locked="0"/>
    </xf>
    <xf numFmtId="170" fontId="24" fillId="0" borderId="0" xfId="65" applyFont="1" applyAlignment="1">
      <alignment horizontal="left" vertical="top" wrapText="1"/>
      <protection/>
    </xf>
    <xf numFmtId="170" fontId="25" fillId="0" borderId="0" xfId="65" applyFont="1" applyAlignment="1">
      <alignment horizontal="left" vertical="top" wrapText="1"/>
      <protection/>
    </xf>
    <xf numFmtId="1" fontId="24" fillId="0" borderId="0" xfId="65" applyNumberFormat="1" applyFont="1" applyAlignment="1">
      <alignment horizontal="left" vertical="top" wrapText="1"/>
      <protection/>
    </xf>
    <xf numFmtId="170" fontId="23" fillId="0" borderId="0" xfId="65" applyFont="1" applyAlignment="1">
      <alignment vertical="top" wrapText="1"/>
      <protection/>
    </xf>
    <xf numFmtId="3" fontId="22" fillId="0" borderId="0" xfId="0" applyNumberFormat="1" applyFont="1" applyAlignment="1">
      <alignment vertical="top" wrapText="1"/>
    </xf>
    <xf numFmtId="170" fontId="22" fillId="0" borderId="0" xfId="65" applyFont="1" applyAlignment="1">
      <alignment vertical="top" wrapText="1"/>
      <protection/>
    </xf>
    <xf numFmtId="3" fontId="3" fillId="0" borderId="0" xfId="0" applyNumberFormat="1" applyFont="1" applyAlignment="1" applyProtection="1">
      <alignment horizontal="center"/>
      <protection/>
    </xf>
    <xf numFmtId="3" fontId="11" fillId="0" borderId="0" xfId="0" applyNumberFormat="1" applyFont="1" applyAlignment="1" applyProtection="1">
      <alignment/>
      <protection/>
    </xf>
    <xf numFmtId="3" fontId="7" fillId="0" borderId="0" xfId="0" applyNumberFormat="1" applyFont="1" applyAlignment="1" applyProtection="1">
      <alignment/>
      <protection/>
    </xf>
    <xf numFmtId="3" fontId="17" fillId="0" borderId="0" xfId="0" applyNumberFormat="1" applyFont="1" applyAlignment="1">
      <alignment vertical="top" wrapText="1"/>
    </xf>
    <xf numFmtId="3" fontId="0" fillId="0" borderId="0" xfId="0" applyNumberFormat="1" applyAlignment="1">
      <alignment vertical="top" wrapText="1"/>
    </xf>
    <xf numFmtId="166" fontId="3" fillId="0" borderId="0" xfId="0" applyNumberFormat="1" applyFont="1" applyAlignment="1" applyProtection="1">
      <alignment horizontal="center"/>
      <protection/>
    </xf>
    <xf numFmtId="3" fontId="5"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166" fontId="5"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0" fillId="0" borderId="0" xfId="0" applyNumberFormat="1" applyAlignment="1">
      <alignment/>
    </xf>
    <xf numFmtId="3" fontId="5" fillId="0" borderId="0" xfId="0" applyNumberFormat="1" applyFont="1" applyAlignment="1" applyProtection="1">
      <alignment/>
      <protection/>
    </xf>
    <xf numFmtId="3" fontId="4" fillId="0" borderId="0" xfId="0" applyNumberFormat="1" applyFont="1" applyAlignment="1" applyProtection="1">
      <alignment/>
      <protection/>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3" fontId="5" fillId="0" borderId="0" xfId="0" applyNumberFormat="1" applyFont="1" applyAlignment="1" applyProtection="1">
      <alignment horizontal="left"/>
      <protection/>
    </xf>
    <xf numFmtId="3" fontId="4" fillId="0" borderId="0" xfId="0" applyNumberFormat="1" applyFont="1" applyAlignment="1" applyProtection="1">
      <alignment horizontal="left"/>
      <protection/>
    </xf>
    <xf numFmtId="3" fontId="11" fillId="0" borderId="0" xfId="0" applyNumberFormat="1" applyFont="1" applyAlignment="1" applyProtection="1">
      <alignment horizontal="center"/>
      <protection/>
    </xf>
    <xf numFmtId="3" fontId="7" fillId="0" borderId="0" xfId="0" applyNumberFormat="1" applyFont="1" applyAlignment="1">
      <alignment horizont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_Farrow-Wean 500" xfId="65"/>
    <cellStyle name="Note" xfId="66"/>
    <cellStyle name="Num (1,234) L Black" xfId="67"/>
    <cellStyle name="Num (1,234) U Blue" xfId="68"/>
    <cellStyle name="Num (1,234.0) L Black" xfId="69"/>
    <cellStyle name="Num (1,234.0) U Blue" xfId="70"/>
    <cellStyle name="Num (1,234.10) L Black" xfId="71"/>
    <cellStyle name="Num (1,234.10) U Blue" xfId="72"/>
    <cellStyle name="Output" xfId="73"/>
    <cellStyle name="Percent" xfId="74"/>
    <cellStyle name="Percent 00.00% L Black" xfId="75"/>
    <cellStyle name="Percent 00.00% U Blue" xfId="76"/>
    <cellStyle name="Standard_Anpassen der Amortisation" xfId="77"/>
    <cellStyle name="Title" xfId="78"/>
    <cellStyle name="Total" xfId="79"/>
    <cellStyle name="Währung [0]_Compiling Utility Macros" xfId="80"/>
    <cellStyle name="Währung_Compiling Utility Macros"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pageSetUpPr fitToPage="1"/>
  </sheetPr>
  <dimension ref="B1:I31"/>
  <sheetViews>
    <sheetView showGridLines="0" tabSelected="1" zoomScalePageLayoutView="0" workbookViewId="0" topLeftCell="A1">
      <selection activeCell="A1" sqref="A1"/>
    </sheetView>
  </sheetViews>
  <sheetFormatPr defaultColWidth="8.88671875" defaultRowHeight="15"/>
  <cols>
    <col min="1" max="1" width="6.88671875" style="1" customWidth="1"/>
    <col min="2" max="2" width="9.3359375" style="1" customWidth="1"/>
    <col min="3" max="16384" width="8.88671875" style="1" customWidth="1"/>
  </cols>
  <sheetData>
    <row r="1" spans="2:9" ht="21" customHeight="1">
      <c r="B1" s="200" t="s">
        <v>63</v>
      </c>
      <c r="C1" s="200"/>
      <c r="D1" s="200"/>
      <c r="E1" s="200"/>
      <c r="F1" s="200"/>
      <c r="G1" s="200"/>
      <c r="H1" s="200"/>
      <c r="I1" s="200"/>
    </row>
    <row r="2" spans="2:9" ht="27" customHeight="1">
      <c r="B2" s="201" t="s">
        <v>249</v>
      </c>
      <c r="C2" s="201"/>
      <c r="D2" s="201"/>
      <c r="E2" s="201"/>
      <c r="F2" s="201"/>
      <c r="G2" s="201"/>
      <c r="H2" s="201"/>
      <c r="I2" s="201"/>
    </row>
    <row r="3" spans="2:9" ht="30.75" customHeight="1">
      <c r="B3" s="202" t="str">
        <f>"Based on "&amp;Input!E12&amp;" Million Litres per year"</f>
        <v>Based on 10 Million Litres per year</v>
      </c>
      <c r="C3" s="202"/>
      <c r="D3" s="202"/>
      <c r="E3" s="202"/>
      <c r="F3" s="202"/>
      <c r="G3" s="202"/>
      <c r="H3" s="202"/>
      <c r="I3" s="202"/>
    </row>
    <row r="4" ht="21.75" customHeight="1"/>
    <row r="5" ht="20.25" customHeight="1"/>
    <row r="6" spans="7:9" ht="21" customHeight="1">
      <c r="G6" s="58" t="s">
        <v>62</v>
      </c>
      <c r="I6" s="59" t="s">
        <v>310</v>
      </c>
    </row>
    <row r="10" ht="15">
      <c r="G10" s="51"/>
    </row>
    <row r="11" spans="2:9" ht="15">
      <c r="B11" s="56"/>
      <c r="C11" s="57"/>
      <c r="D11" s="57"/>
      <c r="E11" s="57"/>
      <c r="F11" s="57"/>
      <c r="G11" s="57"/>
      <c r="H11" s="57"/>
      <c r="I11" s="57"/>
    </row>
    <row r="12" spans="2:9" ht="15">
      <c r="B12" s="57"/>
      <c r="C12" s="57"/>
      <c r="D12" s="57"/>
      <c r="E12" s="57"/>
      <c r="F12" s="57"/>
      <c r="G12" s="57"/>
      <c r="H12" s="57"/>
      <c r="I12" s="57"/>
    </row>
    <row r="13" spans="2:9" ht="15">
      <c r="B13" s="57"/>
      <c r="C13" s="57"/>
      <c r="D13" s="57"/>
      <c r="E13" s="57"/>
      <c r="F13" s="57"/>
      <c r="G13" s="57"/>
      <c r="H13" s="57"/>
      <c r="I13" s="57"/>
    </row>
    <row r="14" ht="15">
      <c r="B14" s="2"/>
    </row>
    <row r="15" spans="2:9" ht="15" customHeight="1">
      <c r="B15" s="205" t="s">
        <v>74</v>
      </c>
      <c r="C15" s="204"/>
      <c r="D15" s="204"/>
      <c r="E15" s="204"/>
      <c r="F15" s="204"/>
      <c r="G15" s="204"/>
      <c r="H15" s="204"/>
      <c r="I15" s="204"/>
    </row>
    <row r="16" spans="2:9" ht="15">
      <c r="B16" s="204"/>
      <c r="C16" s="204"/>
      <c r="D16" s="204"/>
      <c r="E16" s="204"/>
      <c r="F16" s="204"/>
      <c r="G16" s="204"/>
      <c r="H16" s="204"/>
      <c r="I16" s="204"/>
    </row>
    <row r="17" spans="2:9" ht="18.75" customHeight="1">
      <c r="B17" s="204"/>
      <c r="C17" s="204"/>
      <c r="D17" s="204"/>
      <c r="E17" s="204"/>
      <c r="F17" s="204"/>
      <c r="G17" s="204"/>
      <c r="H17" s="204"/>
      <c r="I17" s="204"/>
    </row>
    <row r="18" spans="2:9" ht="15">
      <c r="B18" s="52"/>
      <c r="C18" s="52"/>
      <c r="D18" s="52"/>
      <c r="E18" s="52"/>
      <c r="F18" s="52"/>
      <c r="G18" s="52"/>
      <c r="H18" s="52"/>
      <c r="I18" s="52"/>
    </row>
    <row r="19" spans="2:9" ht="15">
      <c r="B19" s="205" t="s">
        <v>75</v>
      </c>
      <c r="C19" s="205"/>
      <c r="D19" s="205"/>
      <c r="E19" s="205"/>
      <c r="F19" s="205"/>
      <c r="G19" s="205"/>
      <c r="H19" s="205"/>
      <c r="I19" s="204"/>
    </row>
    <row r="20" spans="2:9" ht="15">
      <c r="B20" s="205"/>
      <c r="C20" s="205"/>
      <c r="D20" s="205"/>
      <c r="E20" s="205"/>
      <c r="F20" s="205"/>
      <c r="G20" s="205"/>
      <c r="H20" s="205"/>
      <c r="I20" s="204"/>
    </row>
    <row r="21" spans="2:9" ht="15">
      <c r="B21" s="205"/>
      <c r="C21" s="205"/>
      <c r="D21" s="205"/>
      <c r="E21" s="205"/>
      <c r="F21" s="205"/>
      <c r="G21" s="205"/>
      <c r="H21" s="205"/>
      <c r="I21" s="204"/>
    </row>
    <row r="22" spans="2:9" ht="15" customHeight="1">
      <c r="B22" s="205"/>
      <c r="C22" s="205"/>
      <c r="D22" s="205"/>
      <c r="E22" s="205"/>
      <c r="F22" s="205"/>
      <c r="G22" s="205"/>
      <c r="H22" s="205"/>
      <c r="I22" s="204"/>
    </row>
    <row r="23" spans="2:9" ht="15" customHeight="1">
      <c r="B23" s="205"/>
      <c r="C23" s="205"/>
      <c r="D23" s="205"/>
      <c r="E23" s="205"/>
      <c r="F23" s="205"/>
      <c r="G23" s="205"/>
      <c r="H23" s="205"/>
      <c r="I23" s="204"/>
    </row>
    <row r="24" spans="2:9" ht="15" customHeight="1">
      <c r="B24" s="52"/>
      <c r="C24" s="52"/>
      <c r="D24" s="52"/>
      <c r="E24" s="52"/>
      <c r="F24" s="52"/>
      <c r="G24" s="52"/>
      <c r="H24" s="52"/>
      <c r="I24" s="52"/>
    </row>
    <row r="25" spans="2:9" ht="15">
      <c r="B25" s="203" t="s">
        <v>73</v>
      </c>
      <c r="C25" s="204"/>
      <c r="D25" s="204"/>
      <c r="E25" s="204"/>
      <c r="F25" s="204"/>
      <c r="G25" s="204"/>
      <c r="H25" s="204"/>
      <c r="I25" s="204"/>
    </row>
    <row r="26" spans="2:9" ht="15">
      <c r="B26" s="204"/>
      <c r="C26" s="204"/>
      <c r="D26" s="204"/>
      <c r="E26" s="204"/>
      <c r="F26" s="204"/>
      <c r="G26" s="204"/>
      <c r="H26" s="204"/>
      <c r="I26" s="204"/>
    </row>
    <row r="27" spans="2:9" ht="15">
      <c r="B27" s="204"/>
      <c r="C27" s="204"/>
      <c r="D27" s="204"/>
      <c r="E27" s="204"/>
      <c r="F27" s="204"/>
      <c r="G27" s="204"/>
      <c r="H27" s="204"/>
      <c r="I27" s="204"/>
    </row>
    <row r="28" spans="2:9" ht="15">
      <c r="B28" s="204"/>
      <c r="C28" s="204"/>
      <c r="D28" s="204"/>
      <c r="E28" s="204"/>
      <c r="F28" s="204"/>
      <c r="G28" s="204"/>
      <c r="H28" s="204"/>
      <c r="I28" s="204"/>
    </row>
    <row r="29" spans="2:9" ht="15">
      <c r="B29" s="204"/>
      <c r="C29" s="204"/>
      <c r="D29" s="204"/>
      <c r="E29" s="204"/>
      <c r="F29" s="204"/>
      <c r="G29" s="204"/>
      <c r="H29" s="204"/>
      <c r="I29" s="204"/>
    </row>
    <row r="30" spans="2:9" ht="15">
      <c r="B30" s="204"/>
      <c r="C30" s="204"/>
      <c r="D30" s="204"/>
      <c r="E30" s="204"/>
      <c r="F30" s="204"/>
      <c r="G30" s="204"/>
      <c r="H30" s="204"/>
      <c r="I30" s="204"/>
    </row>
    <row r="31" spans="2:9" ht="15">
      <c r="B31" s="204"/>
      <c r="C31" s="204"/>
      <c r="D31" s="204"/>
      <c r="E31" s="204"/>
      <c r="F31" s="204"/>
      <c r="G31" s="204"/>
      <c r="H31" s="204"/>
      <c r="I31" s="204"/>
    </row>
  </sheetData>
  <sheetProtection password="C6A6" sheet="1"/>
  <mergeCells count="6">
    <mergeCell ref="B1:I1"/>
    <mergeCell ref="B2:I2"/>
    <mergeCell ref="B3:I3"/>
    <mergeCell ref="B25:I31"/>
    <mergeCell ref="B19:I23"/>
    <mergeCell ref="B15:I17"/>
  </mergeCells>
  <printOptions/>
  <pageMargins left="0.7480314960629921" right="0.7480314960629921" top="0.8661417322834646" bottom="0.984251968503937" header="0.5118110236220472" footer="0.5118110236220472"/>
  <pageSetup fitToHeight="1" fitToWidth="1" horizontalDpi="600" verticalDpi="600" orientation="portrait" scale="95"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J60"/>
  <sheetViews>
    <sheetView showGridLines="0" zoomScalePageLayoutView="0" workbookViewId="0" topLeftCell="A1">
      <selection activeCell="A1" sqref="A1"/>
    </sheetView>
  </sheetViews>
  <sheetFormatPr defaultColWidth="8.88671875" defaultRowHeight="15" customHeight="1"/>
  <cols>
    <col min="1" max="1" width="0.9921875" style="15" customWidth="1"/>
    <col min="2" max="2" width="12.21484375" style="15" customWidth="1"/>
    <col min="3" max="3" width="8.88671875" style="15" customWidth="1"/>
    <col min="4" max="4" width="10.21484375" style="15" customWidth="1"/>
    <col min="5" max="5" width="7.77734375" style="15" customWidth="1"/>
    <col min="6" max="6" width="10.99609375" style="75" customWidth="1"/>
    <col min="7" max="7" width="6.99609375" style="15" customWidth="1"/>
    <col min="8" max="8" width="11.10546875" style="15" customWidth="1"/>
    <col min="9" max="9" width="3.77734375" style="15" customWidth="1"/>
    <col min="10" max="10" width="9.5546875" style="15" customWidth="1"/>
    <col min="11" max="11" width="7.21484375" style="15" customWidth="1"/>
    <col min="12" max="16384" width="8.88671875" style="15" customWidth="1"/>
  </cols>
  <sheetData>
    <row r="2" spans="2:10" ht="17.25" customHeight="1">
      <c r="B2" s="206" t="str">
        <f>"Canola Biodiesel Production Costs - "&amp;Introduction!I6&amp;""</f>
        <v>Canola Biodiesel Production Costs - May, 2011</v>
      </c>
      <c r="C2" s="208"/>
      <c r="D2" s="208"/>
      <c r="E2" s="208"/>
      <c r="F2" s="208"/>
      <c r="G2" s="208"/>
      <c r="H2" s="208"/>
      <c r="I2" s="208"/>
      <c r="J2" s="208"/>
    </row>
    <row r="3" spans="2:10" ht="15" customHeight="1">
      <c r="B3" s="206" t="str">
        <f>"Based on "&amp;Input!E12&amp;" Million Litres "</f>
        <v>Based on 10 Million Litres </v>
      </c>
      <c r="C3" s="207"/>
      <c r="D3" s="207"/>
      <c r="E3" s="207"/>
      <c r="F3" s="207"/>
      <c r="G3" s="207"/>
      <c r="H3" s="207"/>
      <c r="I3" s="207"/>
      <c r="J3" s="207"/>
    </row>
    <row r="4" spans="2:10" ht="14.25" customHeight="1">
      <c r="B4" s="17"/>
      <c r="C4" s="17"/>
      <c r="D4" s="17"/>
      <c r="E4" s="17"/>
      <c r="F4" s="66"/>
      <c r="G4" s="17"/>
      <c r="H4" s="17"/>
      <c r="I4" s="17"/>
      <c r="J4" s="17"/>
    </row>
    <row r="5" spans="2:10" ht="8.25" customHeight="1">
      <c r="B5" s="17"/>
      <c r="C5" s="17"/>
      <c r="D5" s="17"/>
      <c r="E5" s="17"/>
      <c r="F5" s="66"/>
      <c r="G5" s="17"/>
      <c r="H5" s="17"/>
      <c r="I5" s="17"/>
      <c r="J5" s="17"/>
    </row>
    <row r="6" spans="2:10" ht="15" customHeight="1">
      <c r="B6" s="4" t="s">
        <v>20</v>
      </c>
      <c r="C6" s="18"/>
      <c r="D6" s="18"/>
      <c r="E6" s="18"/>
      <c r="F6" s="67" t="s">
        <v>107</v>
      </c>
      <c r="G6" s="33" t="s">
        <v>0</v>
      </c>
      <c r="H6" s="45" t="s">
        <v>61</v>
      </c>
      <c r="I6" s="34"/>
      <c r="J6" s="41" t="s">
        <v>19</v>
      </c>
    </row>
    <row r="7" spans="2:10" ht="15" customHeight="1">
      <c r="B7" s="4" t="s">
        <v>109</v>
      </c>
      <c r="C7" s="18"/>
      <c r="D7" s="18"/>
      <c r="E7" s="18"/>
      <c r="F7" s="68"/>
      <c r="G7" s="18"/>
      <c r="H7" s="29"/>
      <c r="I7" s="29"/>
      <c r="J7" s="18"/>
    </row>
    <row r="8" spans="2:10" ht="15" customHeight="1">
      <c r="B8" s="18" t="s">
        <v>133</v>
      </c>
      <c r="C8" s="18"/>
      <c r="D8" s="18"/>
      <c r="E8" s="18"/>
      <c r="F8" s="69">
        <f>SUM(H8/(Input!E12*1000000))</f>
        <v>1.0135591510352604</v>
      </c>
      <c r="G8" s="18"/>
      <c r="H8" s="53">
        <f>Details!F76</f>
        <v>10135591.510352604</v>
      </c>
      <c r="I8" s="28"/>
      <c r="J8" s="21"/>
    </row>
    <row r="9" spans="2:10" ht="15" customHeight="1">
      <c r="B9" s="18" t="s">
        <v>108</v>
      </c>
      <c r="C9" s="18"/>
      <c r="D9" s="18"/>
      <c r="E9" s="18"/>
      <c r="F9" s="69">
        <f>SUM(H9/(Input!E12*1000000))</f>
        <v>0.055052103744</v>
      </c>
      <c r="G9" s="18"/>
      <c r="H9" s="53">
        <f>Details!F86</f>
        <v>550521.03744</v>
      </c>
      <c r="I9" s="28"/>
      <c r="J9" s="21"/>
    </row>
    <row r="10" spans="2:10" ht="15" customHeight="1">
      <c r="B10" s="18" t="s">
        <v>110</v>
      </c>
      <c r="C10" s="18"/>
      <c r="D10" s="18"/>
      <c r="E10" s="18"/>
      <c r="F10" s="122">
        <f>SUM(H10/(Input!E12*1000000))</f>
        <v>0.008818128475199999</v>
      </c>
      <c r="G10" s="23"/>
      <c r="H10" s="118">
        <f>Details!F96</f>
        <v>88181.28475199999</v>
      </c>
      <c r="I10" s="35"/>
      <c r="J10" s="21"/>
    </row>
    <row r="11" spans="2:10" ht="15" customHeight="1">
      <c r="B11" s="19" t="s">
        <v>205</v>
      </c>
      <c r="C11" s="18"/>
      <c r="D11" s="18"/>
      <c r="E11" s="18"/>
      <c r="F11" s="174">
        <f>SUM(F8:F10)</f>
        <v>1.0774293832544604</v>
      </c>
      <c r="G11" s="19"/>
      <c r="H11" s="43">
        <f>SUM(H8:H10)</f>
        <v>10774293.832544604</v>
      </c>
      <c r="I11" s="11"/>
      <c r="J11" s="21"/>
    </row>
    <row r="12" spans="2:10" ht="15" customHeight="1">
      <c r="B12" s="19"/>
      <c r="C12" s="18"/>
      <c r="D12" s="18"/>
      <c r="E12" s="18"/>
      <c r="F12" s="71"/>
      <c r="G12" s="19"/>
      <c r="H12" s="11"/>
      <c r="I12" s="11"/>
      <c r="J12" s="39"/>
    </row>
    <row r="13" spans="2:10" ht="15" customHeight="1">
      <c r="B13" s="4" t="s">
        <v>21</v>
      </c>
      <c r="C13" s="18"/>
      <c r="D13" s="18"/>
      <c r="E13" s="18"/>
      <c r="F13" s="68" t="s">
        <v>0</v>
      </c>
      <c r="G13" s="18"/>
      <c r="H13" s="18"/>
      <c r="I13" s="18"/>
      <c r="J13" s="18"/>
    </row>
    <row r="14" spans="2:10" ht="15" customHeight="1">
      <c r="B14" s="18" t="s">
        <v>308</v>
      </c>
      <c r="C14" s="18"/>
      <c r="D14" s="18"/>
      <c r="E14" s="18"/>
      <c r="F14" s="69">
        <f>SUM(H14/(Input!E12*1000000))</f>
        <v>0.033840872522325</v>
      </c>
      <c r="G14" s="18"/>
      <c r="H14" s="53">
        <f>Details!F121</f>
        <v>338408.72522325</v>
      </c>
      <c r="I14" s="18"/>
      <c r="J14" s="21"/>
    </row>
    <row r="15" spans="2:10" ht="15" customHeight="1">
      <c r="B15" s="18" t="s">
        <v>275</v>
      </c>
      <c r="C15" s="18"/>
      <c r="D15" s="18"/>
      <c r="E15" s="18"/>
      <c r="F15" s="69">
        <f>SUM(H15/(Input!E12*1000000))</f>
        <v>0.00288</v>
      </c>
      <c r="G15" s="18"/>
      <c r="H15" s="53">
        <f>Details!F132</f>
        <v>28800</v>
      </c>
      <c r="I15" s="18"/>
      <c r="J15" s="21"/>
    </row>
    <row r="16" spans="2:10" ht="15" customHeight="1">
      <c r="B16" s="18" t="s">
        <v>271</v>
      </c>
      <c r="C16" s="18"/>
      <c r="D16" s="18"/>
      <c r="E16" s="18"/>
      <c r="F16" s="69">
        <f>SUM(H16/(Input!E12*1000000))</f>
        <v>0.008375</v>
      </c>
      <c r="G16" s="18"/>
      <c r="H16" s="53">
        <f>Details!F139</f>
        <v>83750</v>
      </c>
      <c r="I16" s="18"/>
      <c r="J16" s="21"/>
    </row>
    <row r="17" spans="2:10" ht="15" customHeight="1">
      <c r="B17" s="18" t="s">
        <v>272</v>
      </c>
      <c r="C17" s="18"/>
      <c r="D17" s="18"/>
      <c r="E17" s="18"/>
      <c r="F17" s="69">
        <f>SUM(H17/(Input!E12*1000000))</f>
        <v>0.0012</v>
      </c>
      <c r="G17" s="18"/>
      <c r="H17" s="53">
        <f>Details!F142</f>
        <v>12000</v>
      </c>
      <c r="I17" s="18"/>
      <c r="J17" s="21"/>
    </row>
    <row r="18" spans="2:10" ht="15" customHeight="1">
      <c r="B18" s="18" t="s">
        <v>273</v>
      </c>
      <c r="C18" s="18"/>
      <c r="D18" s="18"/>
      <c r="E18" s="18"/>
      <c r="F18" s="69">
        <f>SUM(H18/(Input!E12*1000000))</f>
        <v>0.001675</v>
      </c>
      <c r="G18" s="18"/>
      <c r="H18" s="53">
        <f>Details!F149</f>
        <v>16750</v>
      </c>
      <c r="I18" s="18"/>
      <c r="J18" s="21"/>
    </row>
    <row r="19" spans="2:10" ht="15" customHeight="1">
      <c r="B19" s="18" t="s">
        <v>274</v>
      </c>
      <c r="C19" s="18"/>
      <c r="D19" s="18"/>
      <c r="E19" s="18"/>
      <c r="F19" s="109">
        <f>SUM(H19/(Input!E12*1000000))</f>
        <v>0.0006</v>
      </c>
      <c r="G19" s="18"/>
      <c r="H19" s="110">
        <f>Details!F156</f>
        <v>6000</v>
      </c>
      <c r="I19" s="18"/>
      <c r="J19" s="21"/>
    </row>
    <row r="20" spans="2:10" ht="15" customHeight="1">
      <c r="B20" s="18" t="s">
        <v>291</v>
      </c>
      <c r="C20" s="18"/>
      <c r="D20" s="18"/>
      <c r="E20" s="18"/>
      <c r="F20" s="122">
        <f>SUM(H20/(Input!E12*1000000))</f>
        <v>0.015</v>
      </c>
      <c r="G20" s="18"/>
      <c r="H20" s="118">
        <f>Details!F161</f>
        <v>150000</v>
      </c>
      <c r="I20" s="18"/>
      <c r="J20" s="21"/>
    </row>
    <row r="21" spans="2:10" s="62" customFormat="1" ht="15" customHeight="1">
      <c r="B21" s="4" t="s">
        <v>48</v>
      </c>
      <c r="C21" s="4"/>
      <c r="D21" s="4"/>
      <c r="E21" s="4"/>
      <c r="F21" s="78">
        <f>SUM(F14:F20)</f>
        <v>0.063570872522325</v>
      </c>
      <c r="G21" s="4"/>
      <c r="H21" s="43">
        <f>SUM(H14:H20)</f>
        <v>635708.72522325</v>
      </c>
      <c r="I21" s="4"/>
      <c r="J21" s="79"/>
    </row>
    <row r="22" spans="2:10" ht="15" customHeight="1">
      <c r="B22" s="18" t="s">
        <v>286</v>
      </c>
      <c r="C22" s="18"/>
      <c r="D22" s="18"/>
      <c r="E22" s="18"/>
      <c r="F22" s="122">
        <f>SUM(H22/(Input!E12*1000000))</f>
        <v>0.0018277</v>
      </c>
      <c r="G22" s="26"/>
      <c r="H22" s="118">
        <f>ROUND(Details!F169,0)</f>
        <v>18277</v>
      </c>
      <c r="I22" s="26"/>
      <c r="J22" s="21"/>
    </row>
    <row r="23" spans="2:10" ht="15" customHeight="1">
      <c r="B23" s="19" t="s">
        <v>22</v>
      </c>
      <c r="C23" s="19"/>
      <c r="D23" s="19"/>
      <c r="E23" s="19"/>
      <c r="F23" s="70">
        <f>SUM(F21:F22)+F11</f>
        <v>1.1428279557767853</v>
      </c>
      <c r="G23" s="24"/>
      <c r="H23" s="43">
        <f>SUM(H21:H22)+H11</f>
        <v>11428279.557767855</v>
      </c>
      <c r="I23" s="37"/>
      <c r="J23" s="21"/>
    </row>
    <row r="24" spans="2:10" ht="15" customHeight="1">
      <c r="B24" s="19"/>
      <c r="C24" s="19"/>
      <c r="D24" s="19"/>
      <c r="E24" s="19"/>
      <c r="F24" s="71"/>
      <c r="G24" s="19"/>
      <c r="H24" s="11"/>
      <c r="I24" s="37"/>
      <c r="J24" s="39"/>
    </row>
    <row r="25" spans="2:10" ht="15" customHeight="1">
      <c r="B25" s="19" t="s">
        <v>23</v>
      </c>
      <c r="C25" s="18"/>
      <c r="D25" s="18"/>
      <c r="E25" s="18"/>
      <c r="F25" s="68"/>
      <c r="G25" s="18"/>
      <c r="H25" s="18"/>
      <c r="I25" s="18"/>
      <c r="J25" s="18"/>
    </row>
    <row r="26" spans="2:10" ht="15" customHeight="1">
      <c r="B26" s="4" t="s">
        <v>3</v>
      </c>
      <c r="C26" s="18"/>
      <c r="D26" s="18"/>
      <c r="E26" s="18"/>
      <c r="F26" s="68"/>
      <c r="G26" s="18"/>
      <c r="H26" s="18"/>
      <c r="I26" s="18"/>
      <c r="J26" s="18"/>
    </row>
    <row r="27" spans="2:10" ht="15" customHeight="1">
      <c r="B27" s="18" t="s">
        <v>4</v>
      </c>
      <c r="C27" s="18"/>
      <c r="D27" s="18"/>
      <c r="E27" s="18"/>
      <c r="F27" s="69">
        <f>SUM(H27/(Input!E12*1000000))</f>
        <v>0.001575</v>
      </c>
      <c r="G27" s="18"/>
      <c r="H27" s="54">
        <f>Details!F198</f>
        <v>15750</v>
      </c>
      <c r="I27" s="18"/>
      <c r="J27" s="21"/>
    </row>
    <row r="28" spans="2:10" ht="15" customHeight="1">
      <c r="B28" s="18" t="s">
        <v>5</v>
      </c>
      <c r="C28" s="18"/>
      <c r="D28" s="18"/>
      <c r="E28" s="18"/>
      <c r="F28" s="69">
        <f>SUM(H28/(Input!E12*1000000))</f>
        <v>0.027</v>
      </c>
      <c r="G28" s="18"/>
      <c r="H28" s="54">
        <f>Details!F204</f>
        <v>270000</v>
      </c>
      <c r="I28" s="18"/>
      <c r="J28" s="21"/>
    </row>
    <row r="29" spans="2:10" ht="15" customHeight="1">
      <c r="B29" s="18"/>
      <c r="C29" s="18"/>
      <c r="D29" s="18"/>
      <c r="E29" s="18"/>
      <c r="F29" s="68"/>
      <c r="G29" s="18"/>
      <c r="H29" s="44"/>
      <c r="I29" s="18"/>
      <c r="J29" s="39"/>
    </row>
    <row r="30" spans="2:10" ht="15" customHeight="1">
      <c r="B30" s="4" t="s">
        <v>6</v>
      </c>
      <c r="C30" s="18"/>
      <c r="D30" s="18"/>
      <c r="E30" s="18"/>
      <c r="F30" s="69" t="s">
        <v>0</v>
      </c>
      <c r="G30" s="18"/>
      <c r="H30" s="44" t="s">
        <v>0</v>
      </c>
      <c r="I30" s="18"/>
      <c r="J30" s="18"/>
    </row>
    <row r="31" spans="2:10" ht="15" customHeight="1">
      <c r="B31" s="18" t="s">
        <v>7</v>
      </c>
      <c r="C31" s="18"/>
      <c r="D31" s="18"/>
      <c r="E31" s="18"/>
      <c r="F31" s="69">
        <f>SUM(H31/(Input!E12*1000000))</f>
        <v>0.00033687500000000004</v>
      </c>
      <c r="G31" s="18"/>
      <c r="H31" s="54">
        <f>Details!F213</f>
        <v>3368.7500000000005</v>
      </c>
      <c r="I31" s="18"/>
      <c r="J31" s="21"/>
    </row>
    <row r="32" spans="2:10" ht="15" customHeight="1">
      <c r="B32" s="18" t="s">
        <v>8</v>
      </c>
      <c r="C32" s="18"/>
      <c r="D32" s="18"/>
      <c r="E32" s="18"/>
      <c r="F32" s="69">
        <f>SUM(H32/(Input!E12*1000000))</f>
        <v>0.0028875000000000003</v>
      </c>
      <c r="G32" s="18"/>
      <c r="H32" s="54">
        <f>Details!F220</f>
        <v>28875.000000000004</v>
      </c>
      <c r="I32" s="18"/>
      <c r="J32" s="21"/>
    </row>
    <row r="33" spans="2:10" ht="15" customHeight="1">
      <c r="B33" s="18" t="s">
        <v>113</v>
      </c>
      <c r="C33" s="18"/>
      <c r="D33" s="18"/>
      <c r="E33" s="18"/>
      <c r="F33" s="117">
        <f>SUM(H33/(Input!E12*1000000))</f>
        <v>8.750000000000001E-05</v>
      </c>
      <c r="G33" s="18"/>
      <c r="H33" s="175">
        <f>Details!F225</f>
        <v>875.0000000000001</v>
      </c>
      <c r="I33" s="18"/>
      <c r="J33" s="21"/>
    </row>
    <row r="34" spans="2:10" ht="15" customHeight="1">
      <c r="B34" s="19" t="s">
        <v>24</v>
      </c>
      <c r="C34" s="19"/>
      <c r="D34" s="19"/>
      <c r="E34" s="19"/>
      <c r="F34" s="120">
        <f>SUM(F27:F33)</f>
        <v>0.031886874999999995</v>
      </c>
      <c r="G34" s="46"/>
      <c r="H34" s="121">
        <f>SUM(H27:H33)</f>
        <v>318868.75</v>
      </c>
      <c r="I34" s="37"/>
      <c r="J34" s="21"/>
    </row>
    <row r="35" spans="2:10" ht="15" customHeight="1">
      <c r="B35" s="19" t="s">
        <v>25</v>
      </c>
      <c r="C35" s="19"/>
      <c r="D35" s="19"/>
      <c r="E35" s="19"/>
      <c r="F35" s="70">
        <f>F23+F34</f>
        <v>1.1747148307767854</v>
      </c>
      <c r="G35" s="19"/>
      <c r="H35" s="43">
        <f>H23+H34</f>
        <v>11747148.307767855</v>
      </c>
      <c r="I35" s="37"/>
      <c r="J35" s="21"/>
    </row>
    <row r="36" spans="2:10" ht="15" customHeight="1">
      <c r="B36" s="19"/>
      <c r="C36" s="19"/>
      <c r="D36" s="19"/>
      <c r="E36" s="19"/>
      <c r="F36" s="71"/>
      <c r="G36" s="19"/>
      <c r="H36" s="11"/>
      <c r="I36" s="37"/>
      <c r="J36" s="39"/>
    </row>
    <row r="37" spans="2:10" ht="15" customHeight="1">
      <c r="B37" s="19" t="s">
        <v>59</v>
      </c>
      <c r="C37" s="19"/>
      <c r="D37" s="19"/>
      <c r="E37" s="19"/>
      <c r="F37" s="117">
        <f>SUM(H37/(Input!E12*1000000))</f>
        <v>0.05138</v>
      </c>
      <c r="G37" s="46"/>
      <c r="H37" s="118">
        <f>Details!F248</f>
        <v>513800</v>
      </c>
      <c r="I37" s="19"/>
      <c r="J37" s="21"/>
    </row>
    <row r="38" spans="2:10" ht="15" customHeight="1">
      <c r="B38" s="19" t="s">
        <v>26</v>
      </c>
      <c r="C38" s="19"/>
      <c r="D38" s="19"/>
      <c r="E38" s="19"/>
      <c r="F38" s="70">
        <f>F35+F37</f>
        <v>1.2260948307767854</v>
      </c>
      <c r="G38" s="19"/>
      <c r="H38" s="43">
        <f>H37+H35</f>
        <v>12260948.307767855</v>
      </c>
      <c r="I38" s="19"/>
      <c r="J38" s="21"/>
    </row>
    <row r="39" spans="2:10" ht="15" customHeight="1" thickBot="1">
      <c r="B39" s="38"/>
      <c r="C39" s="38"/>
      <c r="D39" s="38"/>
      <c r="E39" s="38"/>
      <c r="F39" s="72"/>
      <c r="G39" s="38"/>
      <c r="H39" s="42"/>
      <c r="I39" s="38"/>
      <c r="J39" s="38"/>
    </row>
    <row r="40" spans="2:10" ht="15" customHeight="1" thickTop="1">
      <c r="B40" s="19" t="s">
        <v>117</v>
      </c>
      <c r="C40" s="18"/>
      <c r="D40" s="18"/>
      <c r="E40" s="18"/>
      <c r="F40" s="68"/>
      <c r="G40" s="18"/>
      <c r="H40" s="18"/>
      <c r="I40" s="18"/>
      <c r="J40" s="18"/>
    </row>
    <row r="41" spans="2:10" ht="15" customHeight="1">
      <c r="B41" s="4" t="s">
        <v>115</v>
      </c>
      <c r="C41" s="18"/>
      <c r="D41" s="18"/>
      <c r="E41" s="18"/>
      <c r="F41" s="68"/>
      <c r="G41" s="18"/>
      <c r="H41" s="18"/>
      <c r="I41" s="18"/>
      <c r="J41" s="18"/>
    </row>
    <row r="42" spans="2:10" ht="15" customHeight="1">
      <c r="B42" s="18" t="s">
        <v>295</v>
      </c>
      <c r="C42" s="18"/>
      <c r="D42" s="18"/>
      <c r="E42" s="18"/>
      <c r="F42" s="69">
        <f>SUM(H42/(Input!E12*1000000))</f>
        <v>0.946121044011201</v>
      </c>
      <c r="G42" s="18"/>
      <c r="H42" s="54">
        <f>Details!F264</f>
        <v>9461210.44011201</v>
      </c>
      <c r="I42" s="18"/>
      <c r="J42" s="21"/>
    </row>
    <row r="43" spans="2:10" ht="15" customHeight="1">
      <c r="B43" s="18" t="s">
        <v>292</v>
      </c>
      <c r="C43" s="18"/>
      <c r="D43" s="18"/>
      <c r="E43" s="18"/>
      <c r="F43" s="69">
        <f>SUM(H43/(Input!E12*1000000))</f>
        <v>0.14</v>
      </c>
      <c r="G43" s="18"/>
      <c r="H43" s="54">
        <f>Details!F269</f>
        <v>1400000.0000000002</v>
      </c>
      <c r="I43" s="18"/>
      <c r="J43" s="21"/>
    </row>
    <row r="44" spans="2:10" ht="15" customHeight="1">
      <c r="B44" s="18" t="s">
        <v>116</v>
      </c>
      <c r="C44" s="18"/>
      <c r="D44" s="18"/>
      <c r="E44" s="18"/>
      <c r="F44" s="69">
        <f>SUM(H44/(Input!E12*1000000))</f>
        <v>0.18</v>
      </c>
      <c r="G44" s="18"/>
      <c r="H44" s="54">
        <f>Details!F276</f>
        <v>1800000</v>
      </c>
      <c r="I44" s="18"/>
      <c r="J44" s="21"/>
    </row>
    <row r="45" spans="2:10" ht="15" customHeight="1">
      <c r="B45" s="18" t="s">
        <v>230</v>
      </c>
      <c r="C45" s="18"/>
      <c r="D45" s="18"/>
      <c r="E45" s="18"/>
      <c r="F45" s="122">
        <f>SUM(H45/(Input!E12*1000000))</f>
        <v>0</v>
      </c>
      <c r="G45" s="18"/>
      <c r="H45" s="118">
        <f>Details!F284</f>
        <v>0</v>
      </c>
      <c r="I45" s="18"/>
      <c r="J45" s="21"/>
    </row>
    <row r="46" spans="2:10" ht="15" customHeight="1">
      <c r="B46" s="19" t="s">
        <v>118</v>
      </c>
      <c r="C46" s="19"/>
      <c r="D46" s="19"/>
      <c r="E46" s="19"/>
      <c r="F46" s="70">
        <f>SUM(F42:F45)</f>
        <v>1.266121044011201</v>
      </c>
      <c r="G46" s="24"/>
      <c r="H46" s="64">
        <f>SUM(H42:H45)</f>
        <v>12661210.44011201</v>
      </c>
      <c r="I46" s="37"/>
      <c r="J46" s="21"/>
    </row>
    <row r="47" spans="2:10" ht="15" customHeight="1">
      <c r="B47" s="19"/>
      <c r="C47" s="19"/>
      <c r="D47" s="19"/>
      <c r="E47" s="19"/>
      <c r="F47" s="70"/>
      <c r="G47" s="24"/>
      <c r="H47" s="43"/>
      <c r="I47" s="37"/>
      <c r="J47" s="39"/>
    </row>
    <row r="48" spans="2:10" ht="15" customHeight="1">
      <c r="B48" s="19" t="s">
        <v>293</v>
      </c>
      <c r="C48" s="19"/>
      <c r="D48" s="19"/>
      <c r="E48" s="19"/>
      <c r="F48" s="114">
        <f>F46-F38</f>
        <v>0.040026213234415575</v>
      </c>
      <c r="G48" s="24"/>
      <c r="H48" s="64">
        <f>H46-H38</f>
        <v>400262.13234415464</v>
      </c>
      <c r="I48" s="37"/>
      <c r="J48" s="21"/>
    </row>
    <row r="49" spans="2:10" ht="15" customHeight="1" thickBot="1">
      <c r="B49" s="38"/>
      <c r="C49" s="38"/>
      <c r="D49" s="38"/>
      <c r="E49" s="38"/>
      <c r="F49" s="72"/>
      <c r="G49" s="38"/>
      <c r="H49" s="42"/>
      <c r="I49" s="38"/>
      <c r="J49" s="38"/>
    </row>
    <row r="50" spans="2:10" ht="15" customHeight="1" thickTop="1">
      <c r="B50" s="4" t="s">
        <v>9</v>
      </c>
      <c r="C50" s="18"/>
      <c r="D50" s="18"/>
      <c r="E50" s="18"/>
      <c r="F50" s="123" t="s">
        <v>114</v>
      </c>
      <c r="G50" s="18"/>
      <c r="H50" s="123" t="s">
        <v>245</v>
      </c>
      <c r="I50" s="18"/>
      <c r="J50" s="18"/>
    </row>
    <row r="51" spans="2:10" ht="15" customHeight="1">
      <c r="B51" s="18" t="s">
        <v>28</v>
      </c>
      <c r="C51" s="18"/>
      <c r="D51" s="18"/>
      <c r="E51" s="18"/>
      <c r="F51" s="73">
        <f>SUM((H23-(H46-H42))/(Input!E12*1000000))</f>
        <v>0.8228279557767855</v>
      </c>
      <c r="G51" s="18"/>
      <c r="H51" s="73">
        <f>SUM(((H46-H23)/(Details!F59))+Input!E38)</f>
        <v>13.236937658020262</v>
      </c>
      <c r="I51" s="29"/>
      <c r="J51" s="21"/>
    </row>
    <row r="52" spans="2:10" ht="15" customHeight="1">
      <c r="B52" s="18" t="s">
        <v>294</v>
      </c>
      <c r="C52" s="18"/>
      <c r="D52" s="18"/>
      <c r="E52" s="18"/>
      <c r="F52" s="73">
        <f>SUM(((H23+H37)-(H46-H42))/(Input!E12*1000000))</f>
        <v>0.8742079557767855</v>
      </c>
      <c r="G52" s="18"/>
      <c r="H52" s="73">
        <f>SUM(((H46-H23-H37)/(Details!F59))+Input!E38)</f>
        <v>12.825650556729807</v>
      </c>
      <c r="I52" s="29"/>
      <c r="J52" s="21"/>
    </row>
    <row r="53" spans="2:10" ht="15" customHeight="1">
      <c r="B53" s="18" t="s">
        <v>67</v>
      </c>
      <c r="C53" s="18"/>
      <c r="D53" s="18"/>
      <c r="E53" s="18"/>
      <c r="F53" s="73">
        <f>SUM((H35-(H46-H42))/(Input!E12*1000000))</f>
        <v>0.8547148307767855</v>
      </c>
      <c r="G53" s="18"/>
      <c r="H53" s="73">
        <f>SUM(((H46-H35)/(Details!F59))+Input!E38)</f>
        <v>12.981689304809652</v>
      </c>
      <c r="I53" s="29"/>
      <c r="J53" s="21"/>
    </row>
    <row r="54" spans="2:10" ht="15" customHeight="1">
      <c r="B54" s="18" t="s">
        <v>68</v>
      </c>
      <c r="C54" s="18"/>
      <c r="D54" s="18"/>
      <c r="E54" s="18"/>
      <c r="F54" s="73">
        <f>SUM(((H35+H37)-(H46-H42))/(Input!E12*1000000))</f>
        <v>0.9060948307767855</v>
      </c>
      <c r="G54" s="18"/>
      <c r="H54" s="73">
        <f>SUM(((H46-H35-H37)/(Details!F59))+Input!E38)</f>
        <v>12.570402203519198</v>
      </c>
      <c r="I54" s="29"/>
      <c r="J54" s="36"/>
    </row>
    <row r="55" spans="2:10" ht="15" customHeight="1">
      <c r="B55" s="47" t="str">
        <f>"Breakeven Price $/Litre = (Cost - (Total Income - Est. Biodiesel sales)) ÷ "&amp;Input!E12&amp;" million litres"</f>
        <v>Breakeven Price $/Litre = (Cost - (Total Income - Est. Biodiesel sales)) ÷ 10 million litres</v>
      </c>
      <c r="C55" s="39"/>
      <c r="D55" s="39"/>
      <c r="E55" s="39"/>
      <c r="F55" s="74"/>
      <c r="G55" s="39"/>
      <c r="H55" s="39"/>
      <c r="I55" s="39"/>
      <c r="J55" s="39"/>
    </row>
    <row r="56" spans="2:10" ht="15" customHeight="1">
      <c r="B56" s="47" t="str">
        <f>"Breakeven Price $/Bushel = Total Income - Cost ÷ "&amp;Details!F59&amp;" bu. of canola + $"&amp;Input!E38&amp;" per bu. (with canola meal = $"&amp;Input!E39&amp;" per tonne)"</f>
        <v>Breakeven Price $/Bushel = Total Income - Cost ÷ 1249249 bu. of canola + $12.25 per bu. (with canola meal = $262.15 per tonne)</v>
      </c>
      <c r="C56" s="39"/>
      <c r="D56" s="39"/>
      <c r="E56" s="39"/>
      <c r="F56" s="74"/>
      <c r="G56" s="39"/>
      <c r="H56" s="39"/>
      <c r="I56" s="39"/>
      <c r="J56" s="39"/>
    </row>
    <row r="57" spans="2:10" ht="15" customHeight="1">
      <c r="B57" s="18"/>
      <c r="C57" s="18"/>
      <c r="D57" s="18"/>
      <c r="E57" s="18"/>
      <c r="F57" s="73"/>
      <c r="G57" s="18"/>
      <c r="H57" s="29"/>
      <c r="I57" s="29"/>
      <c r="J57" s="39"/>
    </row>
    <row r="58" spans="2:10" ht="15" customHeight="1">
      <c r="B58" s="209" t="s">
        <v>64</v>
      </c>
      <c r="C58" s="210"/>
      <c r="D58" s="210"/>
      <c r="E58" s="210"/>
      <c r="F58" s="210"/>
      <c r="G58" s="210"/>
      <c r="H58" s="210"/>
      <c r="I58" s="210"/>
      <c r="J58" s="210"/>
    </row>
    <row r="59" spans="2:10" ht="15" customHeight="1">
      <c r="B59" s="210"/>
      <c r="C59" s="210"/>
      <c r="D59" s="210"/>
      <c r="E59" s="210"/>
      <c r="F59" s="210"/>
      <c r="G59" s="210"/>
      <c r="H59" s="210"/>
      <c r="I59" s="210"/>
      <c r="J59" s="210"/>
    </row>
    <row r="60" spans="2:10" ht="15" customHeight="1">
      <c r="B60" s="210"/>
      <c r="C60" s="210"/>
      <c r="D60" s="210"/>
      <c r="E60" s="210"/>
      <c r="F60" s="210"/>
      <c r="G60" s="210"/>
      <c r="H60" s="210"/>
      <c r="I60" s="210"/>
      <c r="J60" s="210"/>
    </row>
  </sheetData>
  <sheetProtection password="C6A6" sheet="1" objects="1" scenarios="1"/>
  <mergeCells count="3">
    <mergeCell ref="B3:J3"/>
    <mergeCell ref="B2:J2"/>
    <mergeCell ref="B58:J60"/>
  </mergeCells>
  <printOptions horizontalCentered="1" verticalCentered="1"/>
  <pageMargins left="0.7480314960629921" right="0.7480314960629921" top="0.7480314960629921" bottom="0.8661417322834646" header="0.5118110236220472" footer="0.5118110236220472"/>
  <pageSetup firstPageNumber="2" useFirstPageNumber="1" fitToHeight="1" fitToWidth="1" horizontalDpi="600" verticalDpi="600" orientation="portrait" scale="76" r:id="rId1"/>
  <headerFooter alignWithMargins="0">
    <oddHeader>&amp;L&amp;9Guidelines: Biodiesel Production Costs&amp;R&amp;P</oddHeader>
    <oddFooter>&amp;R&amp;"Arial,Italic"&amp;9MAFRI, GO Team Branch</oddFooter>
  </headerFooter>
  <ignoredErrors>
    <ignoredError sqref="F34 H34" emptyCellReference="1"/>
    <ignoredError sqref="F21" formula="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A2:J84"/>
  <sheetViews>
    <sheetView showGridLines="0" zoomScalePageLayoutView="0" workbookViewId="0" topLeftCell="A1">
      <selection activeCell="E32" sqref="E32"/>
    </sheetView>
  </sheetViews>
  <sheetFormatPr defaultColWidth="9.77734375" defaultRowHeight="15"/>
  <cols>
    <col min="1" max="1" width="12.6640625" style="3" customWidth="1"/>
    <col min="2" max="2" width="8.6640625" style="3" customWidth="1"/>
    <col min="3" max="3" width="8.5546875" style="3" customWidth="1"/>
    <col min="4" max="4" width="10.3359375" style="3" customWidth="1"/>
    <col min="5" max="5" width="11.21484375" style="3" customWidth="1"/>
    <col min="6" max="6" width="7.88671875" style="3" customWidth="1"/>
    <col min="7" max="7" width="6.21484375" style="3" customWidth="1"/>
    <col min="8" max="8" width="8.99609375" style="3" customWidth="1"/>
    <col min="9" max="9" width="8.4453125" style="3" customWidth="1"/>
  </cols>
  <sheetData>
    <row r="1" ht="15"/>
    <row r="2" spans="1:9" ht="18">
      <c r="A2" s="211" t="s">
        <v>69</v>
      </c>
      <c r="B2" s="206"/>
      <c r="C2" s="206"/>
      <c r="D2" s="206"/>
      <c r="E2" s="206"/>
      <c r="F2" s="206"/>
      <c r="G2" s="206"/>
      <c r="H2" s="206"/>
      <c r="I2" s="206"/>
    </row>
    <row r="3" ht="15"/>
    <row r="4" ht="15.75">
      <c r="A4" s="4" t="s">
        <v>31</v>
      </c>
    </row>
    <row r="5" ht="15"/>
    <row r="6" ht="15">
      <c r="A6" s="3" t="s">
        <v>70</v>
      </c>
    </row>
    <row r="7" ht="15">
      <c r="A7" s="3" t="s">
        <v>52</v>
      </c>
    </row>
    <row r="8" ht="15">
      <c r="A8" s="3" t="s">
        <v>71</v>
      </c>
    </row>
    <row r="9" ht="15">
      <c r="A9" s="3" t="s">
        <v>72</v>
      </c>
    </row>
    <row r="10" ht="19.5" customHeight="1"/>
    <row r="11" spans="1:8" ht="15.75">
      <c r="A11" s="4" t="s">
        <v>122</v>
      </c>
      <c r="E11" s="60"/>
      <c r="H11" s="6"/>
    </row>
    <row r="12" spans="1:8" ht="15.75">
      <c r="A12" s="3" t="s">
        <v>79</v>
      </c>
      <c r="E12" s="82">
        <v>10</v>
      </c>
      <c r="H12" s="7"/>
    </row>
    <row r="13" spans="1:8" ht="15.75">
      <c r="A13" s="3" t="s">
        <v>80</v>
      </c>
      <c r="E13" s="82">
        <v>360</v>
      </c>
      <c r="H13" s="7"/>
    </row>
    <row r="14" spans="1:8" ht="15.75">
      <c r="A14" s="3" t="s">
        <v>81</v>
      </c>
      <c r="E14" s="83">
        <v>24</v>
      </c>
      <c r="H14" s="48"/>
    </row>
    <row r="15" spans="1:8" ht="15.75">
      <c r="A15" s="3" t="s">
        <v>82</v>
      </c>
      <c r="E15" s="84">
        <v>65000</v>
      </c>
      <c r="F15" s="3" t="s">
        <v>77</v>
      </c>
      <c r="H15" s="49"/>
    </row>
    <row r="16" spans="2:8" ht="15.75">
      <c r="B16" s="173" t="s">
        <v>300</v>
      </c>
      <c r="C16" s="97"/>
      <c r="E16" s="172">
        <v>1</v>
      </c>
      <c r="H16" s="49"/>
    </row>
    <row r="17" spans="1:8" ht="15.75">
      <c r="A17" s="3" t="s">
        <v>83</v>
      </c>
      <c r="E17" s="84">
        <v>30000</v>
      </c>
      <c r="F17" s="3" t="s">
        <v>77</v>
      </c>
      <c r="H17" s="49"/>
    </row>
    <row r="18" spans="2:8" ht="15.75">
      <c r="B18" s="173" t="s">
        <v>300</v>
      </c>
      <c r="C18" s="97"/>
      <c r="E18" s="172">
        <v>1</v>
      </c>
      <c r="H18" s="49"/>
    </row>
    <row r="19" spans="1:8" ht="15.75">
      <c r="A19" s="3" t="s">
        <v>84</v>
      </c>
      <c r="E19" s="82">
        <v>1</v>
      </c>
      <c r="H19" s="7"/>
    </row>
    <row r="20" spans="1:8" ht="15.75">
      <c r="A20" s="3" t="s">
        <v>85</v>
      </c>
      <c r="E20" s="85">
        <v>25</v>
      </c>
      <c r="F20" s="3" t="s">
        <v>78</v>
      </c>
      <c r="H20" s="49"/>
    </row>
    <row r="21" spans="5:8" ht="15.75">
      <c r="E21" s="86"/>
      <c r="H21" s="49"/>
    </row>
    <row r="22" spans="1:8" ht="15.75">
      <c r="A22" s="3" t="s">
        <v>91</v>
      </c>
      <c r="E22" s="94">
        <v>0.99088</v>
      </c>
      <c r="F22" s="3" t="s">
        <v>87</v>
      </c>
      <c r="H22" s="49"/>
    </row>
    <row r="23" spans="1:8" ht="15.75">
      <c r="A23" s="3" t="s">
        <v>270</v>
      </c>
      <c r="E23" s="84">
        <v>1200</v>
      </c>
      <c r="F23" s="3" t="s">
        <v>269</v>
      </c>
      <c r="H23" s="49"/>
    </row>
    <row r="24" spans="1:8" ht="15.75">
      <c r="A24" s="3" t="s">
        <v>92</v>
      </c>
      <c r="E24" s="95">
        <v>95</v>
      </c>
      <c r="F24" s="3" t="s">
        <v>37</v>
      </c>
      <c r="H24" s="49"/>
    </row>
    <row r="25" spans="1:8" ht="15.75">
      <c r="A25" s="3" t="s">
        <v>93</v>
      </c>
      <c r="E25" s="95">
        <v>5</v>
      </c>
      <c r="F25" s="3" t="s">
        <v>37</v>
      </c>
      <c r="H25" s="49"/>
    </row>
    <row r="26" spans="1:8" ht="15.75">
      <c r="A26" s="3" t="s">
        <v>94</v>
      </c>
      <c r="E26" s="95">
        <v>0</v>
      </c>
      <c r="F26" s="3" t="s">
        <v>37</v>
      </c>
      <c r="H26" s="49"/>
    </row>
    <row r="27" spans="1:8" ht="15.75">
      <c r="A27" s="3" t="s">
        <v>96</v>
      </c>
      <c r="E27" s="96">
        <v>460</v>
      </c>
      <c r="F27" s="3" t="s">
        <v>89</v>
      </c>
      <c r="H27" s="49"/>
    </row>
    <row r="28" spans="1:8" ht="15.75">
      <c r="A28" s="3" t="s">
        <v>97</v>
      </c>
      <c r="E28" s="95">
        <v>40</v>
      </c>
      <c r="F28" s="3" t="s">
        <v>37</v>
      </c>
      <c r="H28" s="49"/>
    </row>
    <row r="29" spans="1:8" ht="15.75">
      <c r="A29" s="3" t="s">
        <v>121</v>
      </c>
      <c r="E29" s="96">
        <v>600</v>
      </c>
      <c r="F29" s="3" t="s">
        <v>89</v>
      </c>
      <c r="H29" s="49"/>
    </row>
    <row r="30" spans="5:8" ht="15.75">
      <c r="E30" s="87"/>
      <c r="H30" s="49"/>
    </row>
    <row r="31" spans="1:8" ht="15.75">
      <c r="A31" s="3" t="s">
        <v>95</v>
      </c>
      <c r="E31" s="96">
        <v>0</v>
      </c>
      <c r="F31" s="3" t="s">
        <v>89</v>
      </c>
      <c r="H31" s="49"/>
    </row>
    <row r="32" spans="1:8" ht="15.75">
      <c r="A32" s="3" t="s">
        <v>258</v>
      </c>
      <c r="E32" s="106">
        <v>0.82</v>
      </c>
      <c r="F32" s="3" t="s">
        <v>90</v>
      </c>
      <c r="H32" s="49"/>
    </row>
    <row r="33" spans="1:8" ht="15.75">
      <c r="A33" s="3" t="s">
        <v>259</v>
      </c>
      <c r="E33" s="106">
        <v>4.25</v>
      </c>
      <c r="F33" s="3" t="s">
        <v>260</v>
      </c>
      <c r="H33" s="49"/>
    </row>
    <row r="34" spans="1:8" ht="15.75">
      <c r="A34" s="3" t="s">
        <v>106</v>
      </c>
      <c r="E34" s="108">
        <v>0.14</v>
      </c>
      <c r="F34" s="3" t="s">
        <v>90</v>
      </c>
      <c r="H34" s="49"/>
    </row>
    <row r="35" spans="1:8" ht="15.75">
      <c r="A35" s="3" t="s">
        <v>257</v>
      </c>
      <c r="E35" s="107">
        <v>0.18</v>
      </c>
      <c r="F35" s="3" t="s">
        <v>90</v>
      </c>
      <c r="H35" s="49"/>
    </row>
    <row r="36" spans="5:8" ht="15.75">
      <c r="E36" s="111"/>
      <c r="H36" s="49"/>
    </row>
    <row r="37" spans="1:8" ht="15.75">
      <c r="A37" s="4" t="s">
        <v>76</v>
      </c>
      <c r="B37" s="5"/>
      <c r="C37" s="5"/>
      <c r="E37" s="88"/>
      <c r="H37" s="48"/>
    </row>
    <row r="38" spans="1:8" ht="15.75">
      <c r="A38" s="18" t="s">
        <v>123</v>
      </c>
      <c r="B38" s="5"/>
      <c r="C38" s="5"/>
      <c r="E38" s="107">
        <v>12.25</v>
      </c>
      <c r="F38" s="3" t="s">
        <v>88</v>
      </c>
      <c r="H38" s="48"/>
    </row>
    <row r="39" spans="1:8" ht="15.75">
      <c r="A39" s="18" t="s">
        <v>124</v>
      </c>
      <c r="B39" s="5"/>
      <c r="C39" s="5"/>
      <c r="E39" s="112">
        <v>262.15</v>
      </c>
      <c r="F39" s="3" t="s">
        <v>89</v>
      </c>
      <c r="H39" s="48"/>
    </row>
    <row r="40" spans="1:8" ht="15.75">
      <c r="A40" s="18" t="s">
        <v>125</v>
      </c>
      <c r="B40" s="5"/>
      <c r="C40" s="5"/>
      <c r="E40" s="113">
        <v>25</v>
      </c>
      <c r="F40" s="3" t="s">
        <v>37</v>
      </c>
      <c r="H40" s="48"/>
    </row>
    <row r="41" spans="1:8" ht="15.75">
      <c r="A41" s="18" t="s">
        <v>252</v>
      </c>
      <c r="B41" s="5"/>
      <c r="C41" s="5"/>
      <c r="E41" s="106">
        <v>0.575</v>
      </c>
      <c r="F41" s="3" t="s">
        <v>253</v>
      </c>
      <c r="H41" s="48"/>
    </row>
    <row r="42" spans="1:8" ht="15.75">
      <c r="A42" s="18" t="s">
        <v>256</v>
      </c>
      <c r="B42" s="5"/>
      <c r="C42" s="5"/>
      <c r="E42" s="106">
        <v>0.995</v>
      </c>
      <c r="F42" s="3" t="s">
        <v>255</v>
      </c>
      <c r="H42" s="48"/>
    </row>
    <row r="43" spans="1:8" ht="15.75">
      <c r="A43" s="3" t="s">
        <v>80</v>
      </c>
      <c r="E43" s="82">
        <v>360</v>
      </c>
      <c r="H43" s="7"/>
    </row>
    <row r="44" spans="1:8" ht="15.75">
      <c r="A44" s="3" t="s">
        <v>81</v>
      </c>
      <c r="E44" s="83">
        <v>24</v>
      </c>
      <c r="H44" s="48"/>
    </row>
    <row r="45" spans="1:8" ht="15.75">
      <c r="A45" s="3" t="s">
        <v>126</v>
      </c>
      <c r="E45" s="84">
        <v>60000</v>
      </c>
      <c r="F45" s="3" t="s">
        <v>77</v>
      </c>
      <c r="H45" s="49"/>
    </row>
    <row r="46" spans="2:8" ht="15.75">
      <c r="B46" s="173" t="s">
        <v>300</v>
      </c>
      <c r="C46" s="100"/>
      <c r="E46" s="172">
        <v>0.5</v>
      </c>
      <c r="H46" s="49"/>
    </row>
    <row r="47" spans="1:8" ht="15.75">
      <c r="A47" s="3" t="s">
        <v>127</v>
      </c>
      <c r="E47" s="83">
        <v>1</v>
      </c>
      <c r="H47" s="48"/>
    </row>
    <row r="48" spans="1:8" ht="15.75">
      <c r="A48" s="3" t="s">
        <v>85</v>
      </c>
      <c r="E48" s="85">
        <v>20</v>
      </c>
      <c r="F48" s="3" t="s">
        <v>78</v>
      </c>
      <c r="H48" s="49"/>
    </row>
    <row r="49" spans="1:8" ht="15.75">
      <c r="A49" s="3" t="s">
        <v>128</v>
      </c>
      <c r="B49" s="5"/>
      <c r="C49" s="5"/>
      <c r="E49" s="98">
        <v>42</v>
      </c>
      <c r="F49" s="3" t="s">
        <v>37</v>
      </c>
      <c r="H49" s="48"/>
    </row>
    <row r="50" spans="1:8" ht="15.75">
      <c r="A50" s="3" t="s">
        <v>129</v>
      </c>
      <c r="B50" s="5"/>
      <c r="C50" s="5"/>
      <c r="E50" s="98">
        <v>10</v>
      </c>
      <c r="F50" s="3" t="s">
        <v>37</v>
      </c>
      <c r="H50" s="48"/>
    </row>
    <row r="51" spans="1:8" ht="15.75">
      <c r="A51" s="3" t="s">
        <v>250</v>
      </c>
      <c r="B51" s="5"/>
      <c r="C51" s="5"/>
      <c r="E51" s="98">
        <v>1</v>
      </c>
      <c r="F51" s="3" t="s">
        <v>37</v>
      </c>
      <c r="H51" s="48"/>
    </row>
    <row r="52" spans="1:8" ht="15.75">
      <c r="A52" s="3" t="s">
        <v>130</v>
      </c>
      <c r="B52" s="5"/>
      <c r="C52" s="5"/>
      <c r="E52" s="98">
        <v>3.5</v>
      </c>
      <c r="F52" s="3" t="s">
        <v>37</v>
      </c>
      <c r="H52" s="48"/>
    </row>
    <row r="53" spans="1:8" ht="15.75">
      <c r="A53" s="18" t="s">
        <v>132</v>
      </c>
      <c r="B53" s="5"/>
      <c r="C53" s="5"/>
      <c r="E53" s="107">
        <v>2.82</v>
      </c>
      <c r="F53" s="3" t="s">
        <v>88</v>
      </c>
      <c r="H53" s="48"/>
    </row>
    <row r="54" spans="1:8" ht="15.75">
      <c r="A54" s="3" t="s">
        <v>173</v>
      </c>
      <c r="B54" s="5"/>
      <c r="C54" s="5"/>
      <c r="E54" s="83">
        <v>0</v>
      </c>
      <c r="F54" s="3" t="s">
        <v>37</v>
      </c>
      <c r="H54" s="48"/>
    </row>
    <row r="55" spans="1:8" ht="15.75">
      <c r="A55" s="3" t="s">
        <v>131</v>
      </c>
      <c r="B55" s="5"/>
      <c r="C55" s="5"/>
      <c r="E55" s="99">
        <v>0.915</v>
      </c>
      <c r="F55" s="3" t="s">
        <v>86</v>
      </c>
      <c r="H55" s="48"/>
    </row>
    <row r="56" spans="1:8" ht="15.75">
      <c r="A56" s="3" t="s">
        <v>254</v>
      </c>
      <c r="B56" s="5"/>
      <c r="C56" s="5"/>
      <c r="E56" s="99">
        <v>0.92</v>
      </c>
      <c r="F56" s="3" t="s">
        <v>86</v>
      </c>
      <c r="H56" s="48"/>
    </row>
    <row r="57" spans="2:8" ht="15.75">
      <c r="B57" s="5"/>
      <c r="C57" s="5"/>
      <c r="E57" s="89"/>
      <c r="H57" s="48"/>
    </row>
    <row r="58" ht="15.75">
      <c r="A58" s="4" t="s">
        <v>43</v>
      </c>
    </row>
    <row r="59" spans="1:8" ht="15.75">
      <c r="A59" s="3" t="s">
        <v>302</v>
      </c>
      <c r="E59" s="104">
        <v>0.06899</v>
      </c>
      <c r="F59" s="3" t="s">
        <v>98</v>
      </c>
      <c r="H59" s="49"/>
    </row>
    <row r="60" spans="1:8" ht="15.75">
      <c r="A60" s="3" t="s">
        <v>99</v>
      </c>
      <c r="E60" s="98">
        <v>2.5</v>
      </c>
      <c r="F60" s="3" t="s">
        <v>37</v>
      </c>
      <c r="H60" s="49"/>
    </row>
    <row r="61" spans="1:8" ht="15.75">
      <c r="A61" s="3" t="s">
        <v>111</v>
      </c>
      <c r="E61" s="84">
        <v>12000</v>
      </c>
      <c r="F61" s="3" t="s">
        <v>112</v>
      </c>
      <c r="H61" s="49"/>
    </row>
    <row r="62" spans="1:8" ht="15.75">
      <c r="A62" s="3" t="s">
        <v>285</v>
      </c>
      <c r="E62" s="108">
        <v>0.015</v>
      </c>
      <c r="F62" s="3" t="s">
        <v>90</v>
      </c>
      <c r="H62" s="49"/>
    </row>
    <row r="63" spans="1:8" ht="15.75">
      <c r="A63" s="3" t="s">
        <v>100</v>
      </c>
      <c r="E63" s="98">
        <v>0.5</v>
      </c>
      <c r="F63" s="3" t="s">
        <v>37</v>
      </c>
      <c r="H63" s="49"/>
    </row>
    <row r="64" spans="1:8" ht="15.75">
      <c r="A64" s="3" t="s">
        <v>101</v>
      </c>
      <c r="E64" s="98">
        <v>1.5</v>
      </c>
      <c r="F64" s="3" t="s">
        <v>37</v>
      </c>
      <c r="H64" s="49"/>
    </row>
    <row r="65" spans="5:8" ht="15">
      <c r="E65" s="101"/>
      <c r="H65" s="13"/>
    </row>
    <row r="66" spans="1:6" ht="15.75">
      <c r="A66" s="3" t="s">
        <v>119</v>
      </c>
      <c r="E66" s="105">
        <v>1.75</v>
      </c>
      <c r="F66" s="3" t="s">
        <v>37</v>
      </c>
    </row>
    <row r="67" spans="1:6" ht="15.75">
      <c r="A67" s="3" t="s">
        <v>120</v>
      </c>
      <c r="E67" s="105">
        <v>5.75</v>
      </c>
      <c r="F67" s="3" t="s">
        <v>37</v>
      </c>
    </row>
    <row r="68" spans="4:9" ht="15">
      <c r="D68" s="3" t="s">
        <v>0</v>
      </c>
      <c r="E68" s="5" t="s">
        <v>0</v>
      </c>
      <c r="H68" s="5"/>
      <c r="I68" s="3" t="s">
        <v>0</v>
      </c>
    </row>
    <row r="69" spans="1:10" ht="15.75">
      <c r="A69" s="4" t="s">
        <v>32</v>
      </c>
      <c r="J69" s="55"/>
    </row>
    <row r="70" spans="1:9" ht="15.75">
      <c r="A70" s="4" t="s">
        <v>102</v>
      </c>
      <c r="D70" s="40" t="s">
        <v>46</v>
      </c>
      <c r="E70" s="8"/>
      <c r="F70" s="214" t="s">
        <v>47</v>
      </c>
      <c r="G70" s="215"/>
      <c r="H70" s="212" t="s">
        <v>33</v>
      </c>
      <c r="I70" s="213"/>
    </row>
    <row r="71" spans="1:9" ht="15.75">
      <c r="A71" s="3" t="s">
        <v>103</v>
      </c>
      <c r="D71" s="102">
        <v>175000</v>
      </c>
      <c r="E71" s="7"/>
      <c r="F71" s="82">
        <v>10</v>
      </c>
      <c r="G71" s="18" t="s">
        <v>37</v>
      </c>
      <c r="H71" s="82">
        <v>20</v>
      </c>
      <c r="I71" s="3" t="s">
        <v>44</v>
      </c>
    </row>
    <row r="72" spans="1:9" ht="15.75">
      <c r="A72" s="3" t="s">
        <v>104</v>
      </c>
      <c r="D72" s="198">
        <v>175000</v>
      </c>
      <c r="E72" s="50"/>
      <c r="F72" s="199">
        <v>10</v>
      </c>
      <c r="G72" s="18" t="s">
        <v>37</v>
      </c>
      <c r="H72" s="199">
        <v>20</v>
      </c>
      <c r="I72" s="3" t="s">
        <v>44</v>
      </c>
    </row>
    <row r="73" spans="1:9" ht="15.75">
      <c r="A73" s="4" t="s">
        <v>54</v>
      </c>
      <c r="D73" s="90">
        <f>SUM(D71:D72)</f>
        <v>350000</v>
      </c>
      <c r="E73" s="11"/>
      <c r="F73" s="91">
        <f>AVERAGE(F71:F72)</f>
        <v>10</v>
      </c>
      <c r="G73" s="18" t="s">
        <v>37</v>
      </c>
      <c r="H73" s="91">
        <f>AVERAGE(H71:H72)</f>
        <v>20</v>
      </c>
      <c r="I73" s="3" t="s">
        <v>44</v>
      </c>
    </row>
    <row r="74" spans="7:9" ht="15">
      <c r="G74" s="3" t="s">
        <v>0</v>
      </c>
      <c r="I74" s="3" t="s">
        <v>0</v>
      </c>
    </row>
    <row r="75" ht="15.75">
      <c r="A75" s="4" t="s">
        <v>18</v>
      </c>
    </row>
    <row r="76" spans="1:9" ht="15.75">
      <c r="A76" s="3" t="s">
        <v>103</v>
      </c>
      <c r="D76" s="102">
        <v>1250000</v>
      </c>
      <c r="E76" s="7"/>
      <c r="F76" s="82">
        <v>10</v>
      </c>
      <c r="G76" s="18" t="s">
        <v>37</v>
      </c>
      <c r="H76" s="82">
        <v>10</v>
      </c>
      <c r="I76" s="3" t="s">
        <v>44</v>
      </c>
    </row>
    <row r="77" spans="1:9" ht="15.75">
      <c r="A77" s="3" t="s">
        <v>104</v>
      </c>
      <c r="D77" s="198">
        <v>1750000</v>
      </c>
      <c r="E77" s="10"/>
      <c r="F77" s="199">
        <v>10</v>
      </c>
      <c r="G77" s="18" t="s">
        <v>37</v>
      </c>
      <c r="H77" s="199">
        <v>10</v>
      </c>
      <c r="I77" s="3" t="s">
        <v>44</v>
      </c>
    </row>
    <row r="78" spans="1:9" ht="15.75">
      <c r="A78" s="4" t="s">
        <v>55</v>
      </c>
      <c r="D78" s="92">
        <f>SUM(D76:D77)</f>
        <v>3000000</v>
      </c>
      <c r="E78" s="11"/>
      <c r="F78" s="91">
        <f>AVERAGE(F76:F77)</f>
        <v>10</v>
      </c>
      <c r="G78" s="18" t="s">
        <v>37</v>
      </c>
      <c r="H78" s="91">
        <f>AVERAGE(H76:H77)</f>
        <v>10</v>
      </c>
      <c r="I78" s="3" t="s">
        <v>44</v>
      </c>
    </row>
    <row r="79" spans="1:5" ht="15.75">
      <c r="A79" s="4"/>
      <c r="D79" s="92"/>
      <c r="E79" s="11"/>
    </row>
    <row r="80" spans="1:8" ht="15.75">
      <c r="A80" s="4" t="s">
        <v>105</v>
      </c>
      <c r="D80" s="92">
        <f>D73+D78</f>
        <v>3350000</v>
      </c>
      <c r="E80" s="12"/>
      <c r="G80" s="5"/>
      <c r="H80" s="5"/>
    </row>
    <row r="81" spans="1:8" ht="15.75">
      <c r="A81" s="4"/>
      <c r="D81" s="93"/>
      <c r="E81" s="12"/>
      <c r="G81" s="5"/>
      <c r="H81" s="5"/>
    </row>
    <row r="82" spans="1:8" ht="15.75">
      <c r="A82" s="4" t="s">
        <v>220</v>
      </c>
      <c r="D82" s="103">
        <v>50000</v>
      </c>
      <c r="E82" s="12"/>
      <c r="G82" s="5"/>
      <c r="H82" s="5"/>
    </row>
    <row r="83" ht="15.75">
      <c r="E83" s="11"/>
    </row>
    <row r="84" spans="1:8" ht="15.75">
      <c r="A84" s="4" t="s">
        <v>45</v>
      </c>
      <c r="D84" s="92">
        <f>D80+D82</f>
        <v>3400000</v>
      </c>
      <c r="E84" s="12"/>
      <c r="G84" s="5" t="s">
        <v>0</v>
      </c>
      <c r="H84" s="5"/>
    </row>
  </sheetData>
  <sheetProtection password="C6A6" sheet="1" objects="1" scenarios="1" selectLockedCells="1"/>
  <mergeCells count="3">
    <mergeCell ref="A2:I2"/>
    <mergeCell ref="H70:I70"/>
    <mergeCell ref="F70:G70"/>
  </mergeCells>
  <printOptions horizontalCentered="1"/>
  <pageMargins left="0.7480314960629921" right="0.7480314960629921" top="0.984251968503937" bottom="0.984251968503937" header="0.5118110236220472" footer="0.5118110236220472"/>
  <pageSetup firstPageNumber="3" useFirstPageNumber="1" fitToHeight="2" fitToWidth="1" horizontalDpi="600" verticalDpi="600" orientation="portrait" scale="90" r:id="rId3"/>
  <headerFooter alignWithMargins="0">
    <oddHeader>&amp;L&amp;9Guidleines: Biodiesel Production Costs</oddHeader>
    <oddFooter>&amp;R&amp;"Arial,Italic"&amp;9MAFRI, GO Team Branch</oddFooter>
  </headerFooter>
  <rowBreaks count="1" manualBreakCount="1">
    <brk id="56" max="8" man="1"/>
  </rowBreaks>
  <ignoredErrors>
    <ignoredError sqref="H73 F73 F78 H78"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dimension ref="A1:L302"/>
  <sheetViews>
    <sheetView showGridLines="0" zoomScalePageLayoutView="0" workbookViewId="0" topLeftCell="A1">
      <selection activeCell="A1" sqref="A1"/>
    </sheetView>
  </sheetViews>
  <sheetFormatPr defaultColWidth="8.88671875" defaultRowHeight="15" customHeight="1"/>
  <cols>
    <col min="1" max="1" width="3.21484375" style="15" customWidth="1"/>
    <col min="2" max="2" width="5.6640625" style="15" customWidth="1"/>
    <col min="3" max="3" width="5.5546875" style="15" customWidth="1"/>
    <col min="4" max="4" width="9.21484375" style="15" customWidth="1"/>
    <col min="5" max="5" width="3.77734375" style="15" customWidth="1"/>
    <col min="6" max="6" width="12.77734375" style="138" customWidth="1"/>
    <col min="7" max="7" width="2.21484375" style="15" customWidth="1"/>
    <col min="8" max="8" width="25.21484375" style="138" customWidth="1"/>
    <col min="9" max="9" width="3.3359375" style="138" customWidth="1"/>
    <col min="10" max="10" width="6.5546875" style="138" customWidth="1"/>
    <col min="11" max="11" width="12.4453125" style="15" customWidth="1"/>
    <col min="12" max="16384" width="8.88671875" style="15" customWidth="1"/>
  </cols>
  <sheetData>
    <row r="1" spans="1:11" ht="15" customHeight="1">
      <c r="A1" s="14"/>
      <c r="B1" s="14"/>
      <c r="C1" s="14"/>
      <c r="D1" s="14"/>
      <c r="E1" s="14"/>
      <c r="F1" s="124"/>
      <c r="G1" s="14"/>
      <c r="H1" s="124"/>
      <c r="I1" s="124"/>
      <c r="J1" s="124"/>
      <c r="K1" s="14"/>
    </row>
    <row r="2" spans="1:11" ht="15" customHeight="1">
      <c r="A2" s="14"/>
      <c r="B2" s="206" t="s">
        <v>31</v>
      </c>
      <c r="C2" s="206"/>
      <c r="D2" s="216"/>
      <c r="E2" s="216"/>
      <c r="F2" s="216"/>
      <c r="G2" s="216"/>
      <c r="H2" s="216"/>
      <c r="I2" s="216"/>
      <c r="J2" s="216"/>
      <c r="K2" s="216"/>
    </row>
    <row r="3" spans="1:11" ht="15" customHeight="1">
      <c r="A3" s="14"/>
      <c r="B3" s="14"/>
      <c r="C3" s="14"/>
      <c r="D3" s="14"/>
      <c r="E3" s="115"/>
      <c r="F3" s="125"/>
      <c r="G3" s="9"/>
      <c r="H3" s="125"/>
      <c r="I3" s="125"/>
      <c r="J3" s="125"/>
      <c r="K3" s="14"/>
    </row>
    <row r="4" spans="1:11" ht="15.75">
      <c r="A4" s="4" t="s">
        <v>31</v>
      </c>
      <c r="B4" s="3"/>
      <c r="C4" s="3"/>
      <c r="D4" s="3"/>
      <c r="E4" s="18"/>
      <c r="F4" s="126"/>
      <c r="G4" s="3"/>
      <c r="H4" s="126"/>
      <c r="I4" s="126"/>
      <c r="J4" s="126"/>
      <c r="K4" s="27"/>
    </row>
    <row r="5" spans="1:11" ht="15">
      <c r="A5" s="3" t="s">
        <v>70</v>
      </c>
      <c r="B5" s="3"/>
      <c r="C5" s="3"/>
      <c r="D5" s="3"/>
      <c r="E5" s="18"/>
      <c r="F5" s="126"/>
      <c r="G5" s="3"/>
      <c r="H5" s="126"/>
      <c r="I5" s="126"/>
      <c r="J5" s="126"/>
      <c r="K5" s="27"/>
    </row>
    <row r="6" spans="1:11" ht="15">
      <c r="A6" s="3" t="s">
        <v>52</v>
      </c>
      <c r="B6" s="3"/>
      <c r="C6" s="3"/>
      <c r="D6" s="3"/>
      <c r="E6" s="18"/>
      <c r="F6" s="126"/>
      <c r="G6" s="3"/>
      <c r="H6" s="126"/>
      <c r="I6" s="126"/>
      <c r="J6" s="126"/>
      <c r="K6" s="27"/>
    </row>
    <row r="7" spans="1:11" ht="15">
      <c r="A7" s="3" t="s">
        <v>71</v>
      </c>
      <c r="B7" s="3"/>
      <c r="C7" s="3"/>
      <c r="D7" s="3"/>
      <c r="E7" s="18"/>
      <c r="F7" s="126"/>
      <c r="G7" s="3"/>
      <c r="H7" s="126"/>
      <c r="I7" s="126"/>
      <c r="J7" s="126"/>
      <c r="K7" s="27"/>
    </row>
    <row r="8" spans="1:11" ht="15">
      <c r="A8" s="3" t="s">
        <v>238</v>
      </c>
      <c r="B8" s="3"/>
      <c r="C8" s="3"/>
      <c r="D8" s="3"/>
      <c r="E8" s="18"/>
      <c r="F8" s="126"/>
      <c r="G8" s="3"/>
      <c r="H8" s="126"/>
      <c r="I8" s="126"/>
      <c r="J8" s="126"/>
      <c r="K8" s="27"/>
    </row>
    <row r="9" spans="1:11" ht="15">
      <c r="A9" s="3" t="s">
        <v>190</v>
      </c>
      <c r="B9" s="3"/>
      <c r="C9" s="3"/>
      <c r="D9" s="3"/>
      <c r="E9" s="18"/>
      <c r="F9" s="126"/>
      <c r="G9" s="3"/>
      <c r="H9" s="126"/>
      <c r="I9" s="126"/>
      <c r="J9" s="126"/>
      <c r="K9" s="27"/>
    </row>
    <row r="10" spans="1:11" ht="15" customHeight="1">
      <c r="A10" s="14"/>
      <c r="B10" s="18"/>
      <c r="C10" s="18"/>
      <c r="D10" s="18"/>
      <c r="E10" s="18"/>
      <c r="F10" s="39"/>
      <c r="G10" s="18"/>
      <c r="H10" s="39"/>
      <c r="I10" s="39"/>
      <c r="J10" s="39"/>
      <c r="K10" s="18"/>
    </row>
    <row r="11" spans="1:11" ht="15" customHeight="1">
      <c r="A11" s="219" t="s">
        <v>134</v>
      </c>
      <c r="B11" s="220"/>
      <c r="C11" s="220"/>
      <c r="D11" s="220"/>
      <c r="E11" s="220"/>
      <c r="F11" s="220"/>
      <c r="G11" s="220"/>
      <c r="H11" s="220"/>
      <c r="I11" s="220"/>
      <c r="J11" s="220"/>
      <c r="K11" s="220"/>
    </row>
    <row r="12" spans="1:11" ht="15" customHeight="1">
      <c r="A12" s="14"/>
      <c r="B12" s="19"/>
      <c r="C12" s="19"/>
      <c r="D12" s="18"/>
      <c r="E12" s="18"/>
      <c r="F12" s="39"/>
      <c r="G12" s="18"/>
      <c r="H12" s="39"/>
      <c r="I12" s="39"/>
      <c r="J12" s="39"/>
      <c r="K12" s="18"/>
    </row>
    <row r="13" spans="1:11" ht="15" customHeight="1">
      <c r="A13" s="16"/>
      <c r="B13" s="4" t="s">
        <v>42</v>
      </c>
      <c r="C13" s="18"/>
      <c r="D13" s="18"/>
      <c r="E13" s="18"/>
      <c r="F13" s="39"/>
      <c r="G13" s="18"/>
      <c r="H13" s="39"/>
      <c r="I13" s="39"/>
      <c r="J13" s="39"/>
      <c r="K13" s="18"/>
    </row>
    <row r="14" spans="1:11" ht="15" customHeight="1">
      <c r="A14" s="14"/>
      <c r="B14" s="19" t="s">
        <v>109</v>
      </c>
      <c r="C14" s="19"/>
      <c r="D14" s="18"/>
      <c r="E14" s="18"/>
      <c r="F14" s="39"/>
      <c r="G14" s="18"/>
      <c r="H14" s="39"/>
      <c r="I14" s="39"/>
      <c r="J14" s="39"/>
      <c r="K14" s="18"/>
    </row>
    <row r="15" spans="1:11" ht="15" customHeight="1">
      <c r="A15" s="14"/>
      <c r="C15" s="19" t="s">
        <v>135</v>
      </c>
      <c r="D15" s="18"/>
      <c r="E15" s="18"/>
      <c r="F15" s="39"/>
      <c r="G15" s="18"/>
      <c r="H15" s="39"/>
      <c r="I15" s="39"/>
      <c r="J15" s="39"/>
      <c r="K15" s="18"/>
    </row>
    <row r="16" spans="1:11" ht="15" customHeight="1">
      <c r="A16" s="14"/>
      <c r="B16" s="18"/>
      <c r="C16" s="18"/>
      <c r="D16" s="18"/>
      <c r="E16" s="18"/>
      <c r="F16" s="139">
        <f>Input!E49/100</f>
        <v>0.42</v>
      </c>
      <c r="G16" s="18"/>
      <c r="H16" s="39" t="s">
        <v>136</v>
      </c>
      <c r="I16" s="39"/>
      <c r="J16" s="39"/>
      <c r="K16" s="21"/>
    </row>
    <row r="17" spans="1:11" ht="15" customHeight="1">
      <c r="A17" s="14"/>
      <c r="B17" s="18"/>
      <c r="C17" s="18"/>
      <c r="D17" s="18"/>
      <c r="E17" s="18" t="s">
        <v>16</v>
      </c>
      <c r="F17" s="176">
        <f>Input!E50/100</f>
        <v>0.1</v>
      </c>
      <c r="G17" s="18"/>
      <c r="H17" s="21" t="s">
        <v>137</v>
      </c>
      <c r="I17" s="39"/>
      <c r="J17" s="39"/>
      <c r="K17" s="21"/>
    </row>
    <row r="18" spans="1:11" ht="15" customHeight="1">
      <c r="A18" s="14"/>
      <c r="B18" s="18"/>
      <c r="C18" s="18"/>
      <c r="D18" s="18"/>
      <c r="E18" s="22" t="s">
        <v>12</v>
      </c>
      <c r="F18" s="140">
        <f>(F16-F17)</f>
        <v>0.31999999999999995</v>
      </c>
      <c r="G18" s="19"/>
      <c r="H18" s="127" t="s">
        <v>138</v>
      </c>
      <c r="I18" s="127"/>
      <c r="J18" s="127"/>
      <c r="K18" s="21"/>
    </row>
    <row r="19" spans="1:11" ht="15" customHeight="1">
      <c r="A19" s="14"/>
      <c r="B19" s="18"/>
      <c r="C19" s="18"/>
      <c r="D19" s="18"/>
      <c r="E19" s="18" t="s">
        <v>16</v>
      </c>
      <c r="F19" s="176">
        <f>Input!E51/100</f>
        <v>0.01</v>
      </c>
      <c r="G19" s="18"/>
      <c r="H19" s="21" t="s">
        <v>251</v>
      </c>
      <c r="I19" s="39"/>
      <c r="J19" s="39"/>
      <c r="K19" s="21"/>
    </row>
    <row r="20" spans="1:11" ht="15" customHeight="1">
      <c r="A20" s="14"/>
      <c r="B20" s="18"/>
      <c r="C20" s="18"/>
      <c r="D20" s="18"/>
      <c r="E20" s="22" t="s">
        <v>12</v>
      </c>
      <c r="F20" s="140">
        <f>(1-F18-F19)</f>
        <v>0.67</v>
      </c>
      <c r="G20" s="19"/>
      <c r="H20" s="127" t="s">
        <v>157</v>
      </c>
      <c r="I20" s="127"/>
      <c r="J20" s="127"/>
      <c r="K20" s="21"/>
    </row>
    <row r="21" spans="1:11" ht="15" customHeight="1">
      <c r="A21" s="14"/>
      <c r="B21" s="18"/>
      <c r="C21" s="18"/>
      <c r="D21" s="18"/>
      <c r="E21" s="22"/>
      <c r="F21" s="140"/>
      <c r="G21" s="19"/>
      <c r="H21" s="127"/>
      <c r="I21" s="127"/>
      <c r="J21" s="127"/>
      <c r="K21" s="39"/>
    </row>
    <row r="22" spans="1:11" ht="15" customHeight="1">
      <c r="A22" s="14"/>
      <c r="B22" s="18"/>
      <c r="C22" s="18"/>
      <c r="D22" s="18"/>
      <c r="E22" s="22" t="s">
        <v>10</v>
      </c>
      <c r="F22" s="177">
        <v>1000</v>
      </c>
      <c r="G22" s="22"/>
      <c r="H22" s="192" t="s">
        <v>139</v>
      </c>
      <c r="I22" s="32"/>
      <c r="J22" s="32"/>
      <c r="K22" s="21"/>
    </row>
    <row r="23" spans="1:11" ht="15" customHeight="1">
      <c r="A23" s="14"/>
      <c r="B23" s="18"/>
      <c r="C23" s="18"/>
      <c r="D23" s="18"/>
      <c r="E23" s="22" t="s">
        <v>12</v>
      </c>
      <c r="F23" s="142">
        <f>SUM(F18*F22)</f>
        <v>319.99999999999994</v>
      </c>
      <c r="G23" s="19"/>
      <c r="H23" s="127" t="s">
        <v>140</v>
      </c>
      <c r="I23" s="127"/>
      <c r="J23" s="127"/>
      <c r="K23" s="21"/>
    </row>
    <row r="24" spans="1:11" ht="15" customHeight="1">
      <c r="A24" s="14"/>
      <c r="B24" s="18"/>
      <c r="C24" s="18"/>
      <c r="D24" s="18"/>
      <c r="E24" s="22" t="s">
        <v>11</v>
      </c>
      <c r="F24" s="178">
        <f>Input!E55</f>
        <v>0.915</v>
      </c>
      <c r="G24" s="22"/>
      <c r="H24" s="21" t="s">
        <v>297</v>
      </c>
      <c r="I24" s="126"/>
      <c r="J24" s="126"/>
      <c r="K24" s="21"/>
    </row>
    <row r="25" spans="1:11" ht="15" customHeight="1">
      <c r="A25" s="14"/>
      <c r="B25" s="18"/>
      <c r="C25" s="18"/>
      <c r="D25" s="18"/>
      <c r="E25" s="22" t="s">
        <v>12</v>
      </c>
      <c r="F25" s="144">
        <f>SUM(F23/F24)</f>
        <v>349.7267759562841</v>
      </c>
      <c r="G25" s="19"/>
      <c r="H25" s="127" t="s">
        <v>142</v>
      </c>
      <c r="I25" s="127"/>
      <c r="J25" s="127"/>
      <c r="K25" s="21"/>
    </row>
    <row r="26" spans="1:11" ht="15" customHeight="1">
      <c r="A26" s="14"/>
      <c r="B26" s="39"/>
      <c r="C26" s="18"/>
      <c r="D26" s="18"/>
      <c r="E26" s="22"/>
      <c r="F26" s="144"/>
      <c r="G26" s="19"/>
      <c r="H26" s="127"/>
      <c r="I26" s="127"/>
      <c r="J26" s="127"/>
      <c r="K26" s="39"/>
    </row>
    <row r="27" spans="1:11" ht="15" customHeight="1">
      <c r="A27" s="14"/>
      <c r="B27" s="18"/>
      <c r="C27" s="18"/>
      <c r="D27" s="18"/>
      <c r="E27" s="22"/>
      <c r="F27" s="141">
        <f>SUM(1000000*Input!E12)</f>
        <v>10000000</v>
      </c>
      <c r="G27" s="22"/>
      <c r="H27" s="32" t="s">
        <v>143</v>
      </c>
      <c r="I27" s="32"/>
      <c r="J27" s="32"/>
      <c r="K27" s="21"/>
    </row>
    <row r="28" spans="1:11" ht="15" customHeight="1">
      <c r="A28" s="14"/>
      <c r="B28" s="18"/>
      <c r="C28" s="18"/>
      <c r="D28" s="18"/>
      <c r="E28" s="22" t="s">
        <v>10</v>
      </c>
      <c r="F28" s="145">
        <f>Input!E22</f>
        <v>0.99088</v>
      </c>
      <c r="G28" s="22"/>
      <c r="H28" s="32" t="s">
        <v>144</v>
      </c>
      <c r="I28" s="32"/>
      <c r="J28" s="32"/>
      <c r="K28" s="21"/>
    </row>
    <row r="29" spans="1:11" ht="15" customHeight="1">
      <c r="A29" s="14"/>
      <c r="B29" s="18"/>
      <c r="C29" s="18"/>
      <c r="D29" s="18"/>
      <c r="E29" s="22" t="s">
        <v>11</v>
      </c>
      <c r="F29" s="146">
        <f>F25</f>
        <v>349.7267759562841</v>
      </c>
      <c r="G29" s="22"/>
      <c r="H29" s="32" t="s">
        <v>142</v>
      </c>
      <c r="I29" s="32"/>
      <c r="J29" s="32"/>
      <c r="K29" s="21"/>
    </row>
    <row r="30" spans="1:11" ht="15" customHeight="1">
      <c r="A30" s="14"/>
      <c r="B30" s="18"/>
      <c r="C30" s="18"/>
      <c r="D30" s="18"/>
      <c r="E30" s="22" t="s">
        <v>10</v>
      </c>
      <c r="F30" s="179">
        <f>Input!E24</f>
        <v>95</v>
      </c>
      <c r="G30" s="22"/>
      <c r="H30" s="192" t="s">
        <v>146</v>
      </c>
      <c r="I30" s="32"/>
      <c r="J30" s="32"/>
      <c r="K30" s="21"/>
    </row>
    <row r="31" spans="1:11" ht="15" customHeight="1">
      <c r="A31" s="14"/>
      <c r="B31" s="18"/>
      <c r="C31" s="18"/>
      <c r="D31" s="18"/>
      <c r="E31" s="22" t="s">
        <v>12</v>
      </c>
      <c r="F31" s="141">
        <f>SUM((F27*F28)/F29)*(F30/100)</f>
        <v>26916.326250000006</v>
      </c>
      <c r="G31" s="22"/>
      <c r="H31" s="32" t="s">
        <v>151</v>
      </c>
      <c r="I31" s="32"/>
      <c r="J31" s="32"/>
      <c r="K31" s="21"/>
    </row>
    <row r="32" spans="1:11" ht="15" customHeight="1">
      <c r="A32" s="14"/>
      <c r="B32" s="18"/>
      <c r="C32" s="18"/>
      <c r="D32" s="18"/>
      <c r="E32" s="22"/>
      <c r="F32" s="147">
        <f>Input!E38</f>
        <v>12.25</v>
      </c>
      <c r="G32" s="22"/>
      <c r="H32" s="32" t="s">
        <v>216</v>
      </c>
      <c r="I32" s="32"/>
      <c r="J32" s="32"/>
      <c r="K32" s="21"/>
    </row>
    <row r="33" spans="1:11" ht="15" customHeight="1">
      <c r="A33" s="14"/>
      <c r="B33" s="18"/>
      <c r="C33" s="18"/>
      <c r="D33" s="18"/>
      <c r="E33" s="22" t="s">
        <v>10</v>
      </c>
      <c r="F33" s="180">
        <f>SUM(Input!E38*44.0917)</f>
        <v>540.123325</v>
      </c>
      <c r="G33" s="22"/>
      <c r="H33" s="192" t="s">
        <v>150</v>
      </c>
      <c r="I33" s="32"/>
      <c r="J33" s="32"/>
      <c r="K33" s="21"/>
    </row>
    <row r="34" spans="1:11" ht="15" customHeight="1">
      <c r="A34" s="14"/>
      <c r="B34" s="18"/>
      <c r="C34" s="18"/>
      <c r="D34" s="18"/>
      <c r="E34" s="22" t="s">
        <v>12</v>
      </c>
      <c r="F34" s="148">
        <f>SUM(F33*F31)</f>
        <v>14538135.630934784</v>
      </c>
      <c r="G34" s="22"/>
      <c r="H34" s="127" t="s">
        <v>145</v>
      </c>
      <c r="I34" s="127"/>
      <c r="J34" s="127"/>
      <c r="K34" s="21"/>
    </row>
    <row r="35" spans="1:11" ht="15" customHeight="1">
      <c r="A35" s="14"/>
      <c r="B35" s="18"/>
      <c r="C35" s="18"/>
      <c r="D35" s="18"/>
      <c r="E35" s="22"/>
      <c r="F35" s="149"/>
      <c r="G35" s="22"/>
      <c r="H35" s="127"/>
      <c r="I35" s="127"/>
      <c r="J35" s="127"/>
      <c r="K35" s="39"/>
    </row>
    <row r="36" spans="1:11" ht="15" customHeight="1">
      <c r="A36" s="14"/>
      <c r="B36" s="18"/>
      <c r="C36" s="18"/>
      <c r="D36" s="18"/>
      <c r="E36" s="22"/>
      <c r="F36" s="141">
        <f>SUM(1000000*Input!E12)</f>
        <v>10000000</v>
      </c>
      <c r="G36" s="22"/>
      <c r="H36" s="32" t="s">
        <v>143</v>
      </c>
      <c r="I36" s="32"/>
      <c r="J36" s="32"/>
      <c r="K36" s="21"/>
    </row>
    <row r="37" spans="1:11" ht="15" customHeight="1">
      <c r="A37" s="14"/>
      <c r="B37" s="18"/>
      <c r="C37" s="18"/>
      <c r="D37" s="18"/>
      <c r="E37" s="22" t="s">
        <v>10</v>
      </c>
      <c r="F37" s="145">
        <f>Input!E22</f>
        <v>0.99088</v>
      </c>
      <c r="G37" s="22"/>
      <c r="H37" s="32" t="s">
        <v>144</v>
      </c>
      <c r="I37" s="32"/>
      <c r="J37" s="32"/>
      <c r="K37" s="21"/>
    </row>
    <row r="38" spans="1:11" ht="15" customHeight="1">
      <c r="A38" s="14"/>
      <c r="B38" s="18"/>
      <c r="C38" s="18"/>
      <c r="D38" s="18"/>
      <c r="E38" s="22" t="s">
        <v>11</v>
      </c>
      <c r="F38" s="146">
        <f>F25</f>
        <v>349.7267759562841</v>
      </c>
      <c r="G38" s="22"/>
      <c r="H38" s="32" t="s">
        <v>142</v>
      </c>
      <c r="I38" s="32"/>
      <c r="J38" s="32"/>
      <c r="K38" s="21"/>
    </row>
    <row r="39" spans="1:11" ht="15" customHeight="1">
      <c r="A39" s="14"/>
      <c r="B39" s="18"/>
      <c r="C39" s="18"/>
      <c r="D39" s="18"/>
      <c r="E39" s="22" t="s">
        <v>10</v>
      </c>
      <c r="F39" s="150">
        <f>Input!E25</f>
        <v>5</v>
      </c>
      <c r="G39" s="22"/>
      <c r="H39" s="32" t="s">
        <v>148</v>
      </c>
      <c r="I39" s="128"/>
      <c r="J39" s="128"/>
      <c r="K39" s="21"/>
    </row>
    <row r="40" spans="1:11" ht="15" customHeight="1">
      <c r="A40" s="14"/>
      <c r="B40" s="18"/>
      <c r="C40" s="18"/>
      <c r="D40" s="18"/>
      <c r="E40" s="22" t="s">
        <v>12</v>
      </c>
      <c r="F40" s="141">
        <f>SUM((F36*F37)/F38)*(F39/100)</f>
        <v>1416.6487500000003</v>
      </c>
      <c r="G40" s="22"/>
      <c r="H40" s="32" t="s">
        <v>152</v>
      </c>
      <c r="I40" s="32"/>
      <c r="J40" s="32"/>
      <c r="K40" s="21"/>
    </row>
    <row r="41" spans="1:11" ht="15" customHeight="1">
      <c r="A41" s="14"/>
      <c r="B41" s="18"/>
      <c r="C41" s="18"/>
      <c r="D41" s="18"/>
      <c r="E41" s="22"/>
      <c r="F41" s="147">
        <f>SUM(((100-Input!E40)/100)*Input!E38)</f>
        <v>9.1875</v>
      </c>
      <c r="G41" s="22"/>
      <c r="H41" s="32" t="s">
        <v>216</v>
      </c>
      <c r="I41" s="32"/>
      <c r="J41" s="32"/>
      <c r="K41" s="21"/>
    </row>
    <row r="42" spans="1:11" ht="15" customHeight="1">
      <c r="A42" s="14"/>
      <c r="B42" s="18"/>
      <c r="C42" s="18"/>
      <c r="D42" s="18"/>
      <c r="E42" s="22" t="s">
        <v>10</v>
      </c>
      <c r="F42" s="180">
        <f>SUM(((100-Input!E40)/100)*Input!E38*44.0917)</f>
        <v>405.09249375</v>
      </c>
      <c r="G42" s="22"/>
      <c r="H42" s="192" t="s">
        <v>150</v>
      </c>
      <c r="I42" s="128"/>
      <c r="J42" s="128"/>
      <c r="K42" s="21"/>
    </row>
    <row r="43" spans="1:11" ht="15" customHeight="1">
      <c r="A43" s="14"/>
      <c r="B43" s="18"/>
      <c r="C43" s="18"/>
      <c r="D43" s="18"/>
      <c r="E43" s="22" t="s">
        <v>12</v>
      </c>
      <c r="F43" s="148">
        <f>SUM(F42*F40)</f>
        <v>573873.7749053205</v>
      </c>
      <c r="G43" s="22"/>
      <c r="H43" s="127" t="s">
        <v>244</v>
      </c>
      <c r="I43" s="127"/>
      <c r="J43" s="127"/>
      <c r="K43" s="21"/>
    </row>
    <row r="44" spans="1:11" ht="15" customHeight="1">
      <c r="A44" s="14"/>
      <c r="B44" s="18"/>
      <c r="C44" s="18"/>
      <c r="D44" s="18"/>
      <c r="E44" s="22"/>
      <c r="F44" s="148"/>
      <c r="G44" s="22"/>
      <c r="H44" s="127"/>
      <c r="I44" s="127"/>
      <c r="J44" s="127"/>
      <c r="K44" s="39"/>
    </row>
    <row r="45" spans="1:11" ht="15" customHeight="1">
      <c r="A45" s="14"/>
      <c r="B45" s="18"/>
      <c r="C45" s="18"/>
      <c r="D45" s="18"/>
      <c r="E45" s="22"/>
      <c r="F45" s="141">
        <f>SUM(1000000*Input!E12)</f>
        <v>10000000</v>
      </c>
      <c r="G45" s="22"/>
      <c r="H45" s="32" t="s">
        <v>143</v>
      </c>
      <c r="I45" s="32"/>
      <c r="J45" s="32"/>
      <c r="K45" s="21"/>
    </row>
    <row r="46" spans="1:11" ht="15" customHeight="1">
      <c r="A46" s="14"/>
      <c r="B46" s="18"/>
      <c r="C46" s="18"/>
      <c r="D46" s="18"/>
      <c r="E46" s="22" t="s">
        <v>10</v>
      </c>
      <c r="F46" s="145">
        <f>Input!E22</f>
        <v>0.99088</v>
      </c>
      <c r="G46" s="22"/>
      <c r="H46" s="32" t="s">
        <v>144</v>
      </c>
      <c r="I46" s="32"/>
      <c r="J46" s="32"/>
      <c r="K46" s="21"/>
    </row>
    <row r="47" spans="1:11" ht="15" customHeight="1">
      <c r="A47" s="14"/>
      <c r="B47" s="18"/>
      <c r="C47" s="18"/>
      <c r="D47" s="18"/>
      <c r="E47" s="22" t="s">
        <v>10</v>
      </c>
      <c r="F47" s="143">
        <f>Input!E56</f>
        <v>0.92</v>
      </c>
      <c r="G47" s="22"/>
      <c r="H47" s="126" t="s">
        <v>153</v>
      </c>
      <c r="I47" s="126"/>
      <c r="J47" s="126"/>
      <c r="K47" s="21"/>
    </row>
    <row r="48" spans="1:11" ht="15" customHeight="1">
      <c r="A48" s="14"/>
      <c r="B48" s="18"/>
      <c r="C48" s="18"/>
      <c r="D48" s="18"/>
      <c r="E48" s="22" t="s">
        <v>11</v>
      </c>
      <c r="F48" s="141">
        <v>1000</v>
      </c>
      <c r="G48" s="22"/>
      <c r="H48" s="32" t="s">
        <v>139</v>
      </c>
      <c r="I48" s="32"/>
      <c r="J48" s="32"/>
      <c r="K48" s="21"/>
    </row>
    <row r="49" spans="1:11" ht="15" customHeight="1">
      <c r="A49" s="14"/>
      <c r="B49" s="18"/>
      <c r="C49" s="18"/>
      <c r="D49" s="18"/>
      <c r="E49" s="22" t="s">
        <v>10</v>
      </c>
      <c r="F49" s="179">
        <f>Input!E26</f>
        <v>0</v>
      </c>
      <c r="G49" s="22"/>
      <c r="H49" s="192" t="s">
        <v>154</v>
      </c>
      <c r="I49" s="128"/>
      <c r="J49" s="128"/>
      <c r="K49" s="21"/>
    </row>
    <row r="50" spans="1:11" ht="15" customHeight="1">
      <c r="A50" s="14"/>
      <c r="B50" s="18"/>
      <c r="C50" s="18"/>
      <c r="D50" s="18"/>
      <c r="E50" s="22" t="s">
        <v>12</v>
      </c>
      <c r="F50" s="149">
        <f>SUM((F45*F46)*(F47/F48)*F49/100)</f>
        <v>0</v>
      </c>
      <c r="G50" s="22"/>
      <c r="H50" s="127" t="s">
        <v>155</v>
      </c>
      <c r="I50" s="127"/>
      <c r="J50" s="127"/>
      <c r="K50" s="21"/>
    </row>
    <row r="51" spans="1:11" ht="15" customHeight="1">
      <c r="A51" s="14"/>
      <c r="B51" s="18"/>
      <c r="C51" s="18"/>
      <c r="D51" s="18"/>
      <c r="E51" s="22" t="s">
        <v>10</v>
      </c>
      <c r="F51" s="180">
        <f>Input!E41*Input!E42*2204.5855+50</f>
        <v>1311.2984791875</v>
      </c>
      <c r="G51" s="22"/>
      <c r="H51" s="192" t="s">
        <v>150</v>
      </c>
      <c r="I51" s="128"/>
      <c r="J51" s="128"/>
      <c r="K51" s="21"/>
    </row>
    <row r="52" spans="1:11" ht="15" customHeight="1">
      <c r="A52" s="14"/>
      <c r="B52" s="18"/>
      <c r="C52" s="18"/>
      <c r="D52" s="18"/>
      <c r="E52" s="22" t="s">
        <v>12</v>
      </c>
      <c r="F52" s="148">
        <f>SUM(F51*F50)</f>
        <v>0</v>
      </c>
      <c r="G52" s="22"/>
      <c r="H52" s="127" t="s">
        <v>156</v>
      </c>
      <c r="I52" s="127"/>
      <c r="J52" s="127"/>
      <c r="K52" s="21"/>
    </row>
    <row r="53" spans="1:11" ht="15" customHeight="1">
      <c r="A53" s="14"/>
      <c r="B53" s="18"/>
      <c r="C53" s="18"/>
      <c r="D53" s="18"/>
      <c r="E53" s="22"/>
      <c r="F53" s="148"/>
      <c r="G53" s="22"/>
      <c r="H53" s="127"/>
      <c r="I53" s="127"/>
      <c r="J53" s="127"/>
      <c r="K53" s="39"/>
    </row>
    <row r="54" spans="1:11" ht="15" customHeight="1">
      <c r="A54" s="14"/>
      <c r="B54" s="18"/>
      <c r="C54" s="18"/>
      <c r="E54" s="22" t="s">
        <v>12</v>
      </c>
      <c r="F54" s="148">
        <f>SUM(F52+F43+F34)</f>
        <v>15112009.405840104</v>
      </c>
      <c r="G54" s="22"/>
      <c r="H54" s="127" t="s">
        <v>186</v>
      </c>
      <c r="I54" s="127"/>
      <c r="J54" s="127"/>
      <c r="K54" s="39"/>
    </row>
    <row r="55" spans="1:11" ht="15" customHeight="1">
      <c r="A55" s="14"/>
      <c r="B55" s="18"/>
      <c r="C55" s="18"/>
      <c r="D55" s="18"/>
      <c r="E55" s="22"/>
      <c r="F55" s="148"/>
      <c r="G55" s="22"/>
      <c r="H55" s="127"/>
      <c r="I55" s="127"/>
      <c r="J55" s="127"/>
      <c r="K55" s="39"/>
    </row>
    <row r="56" spans="1:11" ht="15" customHeight="1">
      <c r="A56" s="14"/>
      <c r="B56" s="18"/>
      <c r="C56" s="18"/>
      <c r="D56" s="18"/>
      <c r="E56" s="22"/>
      <c r="F56" s="141">
        <f>F31</f>
        <v>26916.326250000006</v>
      </c>
      <c r="G56" s="22"/>
      <c r="H56" s="32" t="s">
        <v>147</v>
      </c>
      <c r="I56" s="32"/>
      <c r="J56" s="32"/>
      <c r="K56" s="21"/>
    </row>
    <row r="57" spans="1:11" ht="15" customHeight="1">
      <c r="A57" s="14"/>
      <c r="B57" s="18"/>
      <c r="C57" s="18"/>
      <c r="D57" s="18"/>
      <c r="E57" s="18" t="s">
        <v>15</v>
      </c>
      <c r="F57" s="177">
        <f>F40</f>
        <v>1416.6487500000003</v>
      </c>
      <c r="G57" s="22"/>
      <c r="H57" s="192" t="s">
        <v>161</v>
      </c>
      <c r="I57" s="128"/>
      <c r="J57" s="128"/>
      <c r="K57" s="21"/>
    </row>
    <row r="58" spans="1:11" ht="15" customHeight="1">
      <c r="A58" s="14"/>
      <c r="B58" s="18"/>
      <c r="C58" s="18"/>
      <c r="D58" s="18"/>
      <c r="E58" s="22"/>
      <c r="F58" s="149">
        <f>F57+F56</f>
        <v>28332.975000000006</v>
      </c>
      <c r="G58" s="22"/>
      <c r="H58" s="127" t="s">
        <v>149</v>
      </c>
      <c r="I58" s="127"/>
      <c r="J58" s="127"/>
      <c r="K58" s="21"/>
    </row>
    <row r="59" spans="1:11" s="27" customFormat="1" ht="15" customHeight="1">
      <c r="A59" s="18"/>
      <c r="B59" s="18"/>
      <c r="C59" s="18"/>
      <c r="D59" s="18"/>
      <c r="E59" s="22"/>
      <c r="F59" s="141">
        <f>ROUND(F58*44.0917,0)</f>
        <v>1249249</v>
      </c>
      <c r="G59" s="22"/>
      <c r="H59" s="127" t="s">
        <v>246</v>
      </c>
      <c r="I59" s="127"/>
      <c r="J59" s="127"/>
      <c r="K59" s="21"/>
    </row>
    <row r="60" spans="1:11" ht="15" customHeight="1">
      <c r="A60" s="14"/>
      <c r="B60" s="18"/>
      <c r="C60" s="18"/>
      <c r="D60" s="18"/>
      <c r="E60" s="22"/>
      <c r="F60" s="181">
        <f>F20</f>
        <v>0.67</v>
      </c>
      <c r="G60" s="22"/>
      <c r="H60" s="192" t="s">
        <v>157</v>
      </c>
      <c r="I60" s="128"/>
      <c r="J60" s="128"/>
      <c r="K60" s="21"/>
    </row>
    <row r="61" spans="1:11" s="62" customFormat="1" ht="15" customHeight="1">
      <c r="A61" s="61"/>
      <c r="B61" s="4"/>
      <c r="C61" s="4"/>
      <c r="D61" s="4"/>
      <c r="E61" s="22" t="s">
        <v>12</v>
      </c>
      <c r="F61" s="149">
        <f>SUM(F58*F60)</f>
        <v>18983.093250000005</v>
      </c>
      <c r="G61" s="19"/>
      <c r="H61" s="127" t="s">
        <v>169</v>
      </c>
      <c r="I61" s="127"/>
      <c r="J61" s="127"/>
      <c r="K61" s="21"/>
    </row>
    <row r="62" spans="1:11" ht="15" customHeight="1">
      <c r="A62" s="14"/>
      <c r="B62" s="18"/>
      <c r="C62" s="18"/>
      <c r="D62" s="18"/>
      <c r="E62" s="22"/>
      <c r="F62" s="141"/>
      <c r="G62" s="22"/>
      <c r="H62" s="32"/>
      <c r="I62" s="32"/>
      <c r="J62" s="32"/>
      <c r="K62" s="39"/>
    </row>
    <row r="63" spans="1:11" ht="15" customHeight="1">
      <c r="A63" s="14"/>
      <c r="B63" s="18"/>
      <c r="C63" s="18"/>
      <c r="D63" s="18"/>
      <c r="E63" s="22"/>
      <c r="F63" s="141">
        <f>SUM(((Input!E50)-Input!E52)/100*1000)</f>
        <v>65</v>
      </c>
      <c r="G63" s="22"/>
      <c r="H63" s="32" t="s">
        <v>171</v>
      </c>
      <c r="I63" s="32"/>
      <c r="J63" s="32"/>
      <c r="K63" s="21"/>
    </row>
    <row r="64" spans="1:11" ht="15" customHeight="1">
      <c r="A64" s="14"/>
      <c r="B64" s="18"/>
      <c r="C64" s="18"/>
      <c r="D64" s="18"/>
      <c r="E64" s="22"/>
      <c r="F64" s="147">
        <f>SUM((Input!E53)*100)/(40.3*(76/100))*(2183*(167.28/100))/100</f>
        <v>336.2236243959776</v>
      </c>
      <c r="G64" s="22"/>
      <c r="H64" s="76" t="s">
        <v>180</v>
      </c>
      <c r="I64" s="76"/>
      <c r="J64" s="76"/>
      <c r="K64" s="21"/>
    </row>
    <row r="65" spans="1:11" ht="15" customHeight="1">
      <c r="A65" s="14"/>
      <c r="B65" s="18"/>
      <c r="C65" s="18"/>
      <c r="D65" s="18"/>
      <c r="E65" s="22"/>
      <c r="F65" s="141"/>
      <c r="G65" s="22"/>
      <c r="H65" s="32" t="s">
        <v>181</v>
      </c>
      <c r="I65" s="32"/>
      <c r="J65" s="32"/>
      <c r="K65" s="21"/>
    </row>
    <row r="66" spans="1:11" ht="15" customHeight="1">
      <c r="A66" s="14"/>
      <c r="B66" s="18"/>
      <c r="C66" s="18"/>
      <c r="D66" s="18"/>
      <c r="E66" s="22"/>
      <c r="F66" s="147">
        <f>SUM(F63*(F64))/1000</f>
        <v>21.854535585738542</v>
      </c>
      <c r="G66" s="22"/>
      <c r="H66" s="126" t="s">
        <v>172</v>
      </c>
      <c r="I66" s="126"/>
      <c r="J66" s="126"/>
      <c r="K66" s="21"/>
    </row>
    <row r="67" spans="1:11" ht="15" customHeight="1">
      <c r="A67" s="14"/>
      <c r="B67" s="18"/>
      <c r="C67" s="18"/>
      <c r="D67" s="18"/>
      <c r="E67" s="22" t="s">
        <v>10</v>
      </c>
      <c r="F67" s="181">
        <f>Input!E54/100</f>
        <v>0</v>
      </c>
      <c r="G67" s="22"/>
      <c r="H67" s="21" t="s">
        <v>174</v>
      </c>
      <c r="I67" s="129"/>
      <c r="J67" s="129"/>
      <c r="K67" s="21"/>
    </row>
    <row r="68" spans="5:10" ht="15" customHeight="1">
      <c r="E68" s="22" t="s">
        <v>12</v>
      </c>
      <c r="F68" s="152">
        <f>SUM(F66*F67)</f>
        <v>0</v>
      </c>
      <c r="H68" s="77" t="s">
        <v>188</v>
      </c>
      <c r="I68" s="77"/>
      <c r="J68" s="77"/>
    </row>
    <row r="69" spans="1:11" ht="15" customHeight="1">
      <c r="A69" s="14"/>
      <c r="B69" s="18"/>
      <c r="C69" s="18"/>
      <c r="D69" s="18"/>
      <c r="E69" s="18" t="s">
        <v>15</v>
      </c>
      <c r="F69" s="180">
        <f>Input!E39</f>
        <v>262.15</v>
      </c>
      <c r="G69" s="22"/>
      <c r="H69" s="192" t="s">
        <v>170</v>
      </c>
      <c r="I69" s="128"/>
      <c r="J69" s="128"/>
      <c r="K69" s="21"/>
    </row>
    <row r="70" spans="1:11" ht="15" customHeight="1">
      <c r="A70" s="14"/>
      <c r="B70" s="18"/>
      <c r="C70" s="18"/>
      <c r="D70" s="18"/>
      <c r="E70" s="22" t="s">
        <v>12</v>
      </c>
      <c r="F70" s="147">
        <f>SUM((F66*F67)+F69)</f>
        <v>262.15</v>
      </c>
      <c r="G70" s="22"/>
      <c r="H70" s="32" t="s">
        <v>175</v>
      </c>
      <c r="I70" s="32"/>
      <c r="J70" s="32"/>
      <c r="K70" s="21"/>
    </row>
    <row r="71" spans="1:11" ht="15" customHeight="1">
      <c r="A71" s="14"/>
      <c r="B71" s="18"/>
      <c r="C71" s="18"/>
      <c r="D71" s="18"/>
      <c r="E71" s="22" t="s">
        <v>10</v>
      </c>
      <c r="F71" s="177">
        <f>F61</f>
        <v>18983.093250000005</v>
      </c>
      <c r="G71" s="22"/>
      <c r="H71" s="192" t="s">
        <v>296</v>
      </c>
      <c r="I71" s="128"/>
      <c r="J71" s="128"/>
      <c r="K71" s="21"/>
    </row>
    <row r="72" spans="1:11" ht="15" customHeight="1">
      <c r="A72" s="14"/>
      <c r="B72" s="18"/>
      <c r="C72" s="18"/>
      <c r="D72" s="18"/>
      <c r="E72" s="22" t="s">
        <v>12</v>
      </c>
      <c r="F72" s="148">
        <f>SUM(F70*F71)</f>
        <v>4976417.895487501</v>
      </c>
      <c r="G72" s="22"/>
      <c r="H72" s="127" t="s">
        <v>176</v>
      </c>
      <c r="I72" s="127"/>
      <c r="J72" s="127"/>
      <c r="K72" s="21"/>
    </row>
    <row r="73" spans="1:11" ht="15" customHeight="1">
      <c r="A73" s="14"/>
      <c r="B73" s="18"/>
      <c r="C73" s="18"/>
      <c r="D73" s="18"/>
      <c r="E73" s="22"/>
      <c r="F73" s="153"/>
      <c r="G73" s="22"/>
      <c r="H73" s="127"/>
      <c r="I73" s="127"/>
      <c r="J73" s="127"/>
      <c r="K73" s="39"/>
    </row>
    <row r="74" spans="1:11" ht="15" customHeight="1">
      <c r="A74" s="14"/>
      <c r="B74" s="18"/>
      <c r="C74" s="18"/>
      <c r="D74" s="18"/>
      <c r="E74" s="22"/>
      <c r="F74" s="148">
        <f>F54</f>
        <v>15112009.405840104</v>
      </c>
      <c r="G74" s="22"/>
      <c r="H74" s="127" t="str">
        <f>H54</f>
        <v>Subtotal Feedstock</v>
      </c>
      <c r="I74" s="127"/>
      <c r="J74" s="127"/>
      <c r="K74" s="21"/>
    </row>
    <row r="75" spans="1:11" ht="15" customHeight="1">
      <c r="A75" s="14"/>
      <c r="B75" s="18"/>
      <c r="C75" s="18"/>
      <c r="D75" s="18"/>
      <c r="E75" s="22" t="s">
        <v>16</v>
      </c>
      <c r="F75" s="182">
        <f>F72</f>
        <v>4976417.895487501</v>
      </c>
      <c r="G75" s="22"/>
      <c r="H75" s="193" t="str">
        <f>H72</f>
        <v>Canola meal income</v>
      </c>
      <c r="I75" s="46"/>
      <c r="J75" s="46"/>
      <c r="K75" s="21"/>
    </row>
    <row r="76" spans="1:11" ht="15" customHeight="1">
      <c r="A76" s="14"/>
      <c r="B76" s="18"/>
      <c r="C76" s="18"/>
      <c r="D76" s="19" t="s">
        <v>13</v>
      </c>
      <c r="E76" s="22" t="s">
        <v>12</v>
      </c>
      <c r="F76" s="148">
        <f>SUM(F74-F75)</f>
        <v>10135591.510352604</v>
      </c>
      <c r="G76" s="22"/>
      <c r="H76" s="127" t="s">
        <v>187</v>
      </c>
      <c r="I76" s="127"/>
      <c r="J76" s="127"/>
      <c r="K76" s="21"/>
    </row>
    <row r="77" spans="1:11" ht="15" customHeight="1">
      <c r="A77" s="14"/>
      <c r="B77" s="18"/>
      <c r="C77" s="18"/>
      <c r="D77" s="18"/>
      <c r="E77" s="22"/>
      <c r="F77" s="153"/>
      <c r="G77" s="22"/>
      <c r="H77" s="127"/>
      <c r="I77" s="127"/>
      <c r="J77" s="127"/>
      <c r="K77" s="39"/>
    </row>
    <row r="78" spans="1:11" ht="15" customHeight="1">
      <c r="A78" s="14"/>
      <c r="C78" s="19" t="s">
        <v>163</v>
      </c>
      <c r="D78" s="18"/>
      <c r="E78" s="18"/>
      <c r="F78" s="39"/>
      <c r="G78" s="18"/>
      <c r="H78" s="39"/>
      <c r="I78" s="39"/>
      <c r="J78" s="39"/>
      <c r="K78" s="18"/>
    </row>
    <row r="79" spans="1:11" ht="15" customHeight="1">
      <c r="A79" s="14"/>
      <c r="B79" s="18"/>
      <c r="C79" s="18"/>
      <c r="D79" s="18"/>
      <c r="E79" s="22"/>
      <c r="F79" s="141">
        <f>SUM(1000000*Input!E12)</f>
        <v>10000000</v>
      </c>
      <c r="G79" s="22"/>
      <c r="H79" s="32" t="s">
        <v>143</v>
      </c>
      <c r="I79" s="32"/>
      <c r="J79" s="32"/>
      <c r="K79" s="21"/>
    </row>
    <row r="80" spans="1:11" ht="15" customHeight="1">
      <c r="A80" s="14"/>
      <c r="B80" s="18"/>
      <c r="C80" s="18"/>
      <c r="D80" s="18"/>
      <c r="E80" s="22" t="s">
        <v>10</v>
      </c>
      <c r="F80" s="145">
        <f>Input!E22</f>
        <v>0.99088</v>
      </c>
      <c r="G80" s="22"/>
      <c r="H80" s="32" t="s">
        <v>144</v>
      </c>
      <c r="I80" s="32"/>
      <c r="J80" s="32"/>
      <c r="K80" s="21"/>
    </row>
    <row r="81" spans="1:11" ht="15" customHeight="1">
      <c r="A81" s="14"/>
      <c r="B81" s="18"/>
      <c r="C81" s="18"/>
      <c r="D81" s="18"/>
      <c r="E81" s="22" t="s">
        <v>10</v>
      </c>
      <c r="F81" s="143">
        <f>Input!E55</f>
        <v>0.915</v>
      </c>
      <c r="G81" s="22"/>
      <c r="H81" s="126" t="s">
        <v>297</v>
      </c>
      <c r="I81" s="126"/>
      <c r="J81" s="126"/>
      <c r="K81" s="21"/>
    </row>
    <row r="82" spans="1:11" ht="15" customHeight="1">
      <c r="A82" s="14"/>
      <c r="B82" s="18"/>
      <c r="C82" s="18"/>
      <c r="D82" s="18"/>
      <c r="E82" s="22" t="s">
        <v>10</v>
      </c>
      <c r="F82" s="154">
        <v>0.22</v>
      </c>
      <c r="G82" s="18"/>
      <c r="H82" s="130" t="s">
        <v>164</v>
      </c>
      <c r="I82" s="130"/>
      <c r="J82" s="130"/>
      <c r="K82" s="18"/>
    </row>
    <row r="83" spans="1:11" ht="15" customHeight="1">
      <c r="A83" s="14"/>
      <c r="B83" s="18"/>
      <c r="C83" s="18"/>
      <c r="D83" s="18"/>
      <c r="E83" s="22" t="s">
        <v>10</v>
      </c>
      <c r="F83" s="155">
        <f>1-(Input!E28/100)</f>
        <v>0.6</v>
      </c>
      <c r="G83" s="18"/>
      <c r="H83" s="39" t="str">
        <f>"Methanol recovery = "&amp;Input!E28&amp;"%"</f>
        <v>Methanol recovery = 40%</v>
      </c>
      <c r="I83" s="39"/>
      <c r="J83" s="39"/>
      <c r="K83" s="21"/>
    </row>
    <row r="84" spans="1:11" ht="15" customHeight="1">
      <c r="A84" s="14"/>
      <c r="B84" s="18"/>
      <c r="C84" s="18"/>
      <c r="D84" s="18"/>
      <c r="E84" s="22" t="s">
        <v>11</v>
      </c>
      <c r="F84" s="141">
        <v>1000</v>
      </c>
      <c r="G84" s="22"/>
      <c r="H84" s="32" t="s">
        <v>139</v>
      </c>
      <c r="I84" s="32"/>
      <c r="J84" s="32"/>
      <c r="K84" s="21"/>
    </row>
    <row r="85" spans="1:11" ht="15" customHeight="1">
      <c r="A85" s="14"/>
      <c r="B85" s="18"/>
      <c r="C85" s="18"/>
      <c r="D85" s="18"/>
      <c r="E85" s="22" t="s">
        <v>10</v>
      </c>
      <c r="F85" s="180">
        <f>Input!E27</f>
        <v>460</v>
      </c>
      <c r="G85" s="25" t="s">
        <v>0</v>
      </c>
      <c r="H85" s="192" t="s">
        <v>165</v>
      </c>
      <c r="I85" s="128"/>
      <c r="J85" s="128"/>
      <c r="K85" s="21"/>
    </row>
    <row r="86" spans="1:11" ht="15" customHeight="1">
      <c r="A86" s="14"/>
      <c r="B86" s="18"/>
      <c r="C86" s="18"/>
      <c r="D86" s="19" t="s">
        <v>14</v>
      </c>
      <c r="E86" s="18" t="s">
        <v>12</v>
      </c>
      <c r="F86" s="148">
        <f>((F79*F80*F81*F82*F83)*F85)/F84</f>
        <v>550521.03744</v>
      </c>
      <c r="G86" s="18"/>
      <c r="H86" s="131" t="s">
        <v>185</v>
      </c>
      <c r="I86" s="131"/>
      <c r="J86" s="131"/>
      <c r="K86" s="21"/>
    </row>
    <row r="87" spans="1:11" ht="15" customHeight="1">
      <c r="A87" s="14"/>
      <c r="B87" s="18"/>
      <c r="C87" s="18"/>
      <c r="D87" s="18"/>
      <c r="E87" s="18"/>
      <c r="F87" s="39"/>
      <c r="G87" s="18"/>
      <c r="H87" s="39"/>
      <c r="I87" s="39"/>
      <c r="J87" s="39"/>
      <c r="K87" s="18"/>
    </row>
    <row r="88" spans="1:11" ht="15" customHeight="1">
      <c r="A88" s="14"/>
      <c r="C88" s="19" t="s">
        <v>166</v>
      </c>
      <c r="D88" s="18"/>
      <c r="E88" s="18"/>
      <c r="F88" s="39"/>
      <c r="G88" s="18"/>
      <c r="H88" s="39"/>
      <c r="I88" s="39"/>
      <c r="J88" s="39"/>
      <c r="K88" s="18"/>
    </row>
    <row r="89" spans="1:11" ht="15" customHeight="1">
      <c r="A89" s="14"/>
      <c r="B89" s="18"/>
      <c r="C89" s="18"/>
      <c r="D89" s="18"/>
      <c r="E89" s="22"/>
      <c r="F89" s="141">
        <f>SUM(1000000*Input!E12)</f>
        <v>10000000</v>
      </c>
      <c r="G89" s="22"/>
      <c r="H89" s="32" t="s">
        <v>143</v>
      </c>
      <c r="I89" s="32"/>
      <c r="J89" s="32"/>
      <c r="K89" s="21"/>
    </row>
    <row r="90" spans="1:11" ht="15" customHeight="1">
      <c r="A90" s="14"/>
      <c r="B90" s="18"/>
      <c r="C90" s="18"/>
      <c r="D90" s="18"/>
      <c r="E90" s="22" t="s">
        <v>10</v>
      </c>
      <c r="F90" s="145">
        <f>Input!E22</f>
        <v>0.99088</v>
      </c>
      <c r="G90" s="22"/>
      <c r="H90" s="32" t="s">
        <v>144</v>
      </c>
      <c r="I90" s="32"/>
      <c r="J90" s="32"/>
      <c r="K90" s="21"/>
    </row>
    <row r="91" spans="1:11" ht="15" customHeight="1">
      <c r="A91" s="14"/>
      <c r="B91" s="18"/>
      <c r="C91" s="18"/>
      <c r="D91" s="18"/>
      <c r="E91" s="22" t="s">
        <v>10</v>
      </c>
      <c r="F91" s="143">
        <f>Input!E55</f>
        <v>0.915</v>
      </c>
      <c r="G91" s="22"/>
      <c r="H91" s="126" t="s">
        <v>141</v>
      </c>
      <c r="I91" s="126"/>
      <c r="J91" s="126"/>
      <c r="K91" s="21"/>
    </row>
    <row r="92" spans="1:11" ht="15" customHeight="1">
      <c r="A92" s="14"/>
      <c r="B92" s="18"/>
      <c r="C92" s="18"/>
      <c r="D92" s="18"/>
      <c r="E92" s="22" t="s">
        <v>11</v>
      </c>
      <c r="F92" s="141">
        <v>1000</v>
      </c>
      <c r="G92" s="22"/>
      <c r="H92" s="32" t="s">
        <v>139</v>
      </c>
      <c r="I92" s="32"/>
      <c r="J92" s="32"/>
      <c r="K92" s="21"/>
    </row>
    <row r="93" spans="1:11" ht="15" customHeight="1">
      <c r="A93" s="14"/>
      <c r="B93" s="18"/>
      <c r="C93" s="18"/>
      <c r="D93" s="18"/>
      <c r="E93" s="22" t="s">
        <v>10</v>
      </c>
      <c r="F93" s="156">
        <v>16.21</v>
      </c>
      <c r="G93" s="18"/>
      <c r="H93" s="126" t="s">
        <v>168</v>
      </c>
      <c r="I93" s="126"/>
      <c r="J93" s="126"/>
      <c r="K93" s="21"/>
    </row>
    <row r="94" spans="1:11" ht="15" customHeight="1">
      <c r="A94" s="14"/>
      <c r="B94" s="18"/>
      <c r="C94" s="18"/>
      <c r="D94" s="18"/>
      <c r="E94" s="22" t="s">
        <v>11</v>
      </c>
      <c r="F94" s="141">
        <v>1000</v>
      </c>
      <c r="G94" s="22"/>
      <c r="H94" s="32" t="s">
        <v>139</v>
      </c>
      <c r="I94" s="32"/>
      <c r="J94" s="32"/>
      <c r="K94" s="21"/>
    </row>
    <row r="95" spans="1:11" ht="15" customHeight="1">
      <c r="A95" s="14"/>
      <c r="B95" s="18"/>
      <c r="C95" s="18"/>
      <c r="D95" s="18"/>
      <c r="E95" s="22" t="s">
        <v>10</v>
      </c>
      <c r="F95" s="180">
        <f>Input!E29</f>
        <v>600</v>
      </c>
      <c r="G95" s="25" t="s">
        <v>0</v>
      </c>
      <c r="H95" s="194" t="s">
        <v>167</v>
      </c>
      <c r="I95" s="126"/>
      <c r="J95" s="126"/>
      <c r="K95" s="21"/>
    </row>
    <row r="96" spans="1:11" ht="15" customHeight="1">
      <c r="A96" s="14"/>
      <c r="B96" s="18"/>
      <c r="C96" s="18"/>
      <c r="D96" s="19" t="s">
        <v>14</v>
      </c>
      <c r="E96" s="22" t="s">
        <v>12</v>
      </c>
      <c r="F96" s="148">
        <f>SUM(F89*F90*F91/F92*F93/F94*F95)</f>
        <v>88181.28475199999</v>
      </c>
      <c r="G96" s="18"/>
      <c r="H96" s="131" t="s">
        <v>184</v>
      </c>
      <c r="I96" s="131"/>
      <c r="J96" s="131"/>
      <c r="K96" s="21"/>
    </row>
    <row r="97" spans="1:11" ht="15" customHeight="1">
      <c r="A97" s="14"/>
      <c r="B97" s="18"/>
      <c r="C97" s="18"/>
      <c r="F97" s="157"/>
      <c r="G97" s="18"/>
      <c r="H97" s="127"/>
      <c r="I97" s="127"/>
      <c r="J97" s="127"/>
      <c r="K97" s="39"/>
    </row>
    <row r="98" spans="1:11" ht="15" customHeight="1">
      <c r="A98" s="14"/>
      <c r="B98" s="19" t="s">
        <v>21</v>
      </c>
      <c r="C98" s="19"/>
      <c r="D98" s="18"/>
      <c r="E98" s="18"/>
      <c r="F98" s="39"/>
      <c r="G98" s="18"/>
      <c r="H98" s="39"/>
      <c r="I98" s="39"/>
      <c r="J98" s="39"/>
      <c r="K98" s="18"/>
    </row>
    <row r="99" spans="1:11" ht="15" customHeight="1">
      <c r="A99" s="14"/>
      <c r="C99" s="19" t="s">
        <v>303</v>
      </c>
      <c r="D99" s="18"/>
      <c r="E99" s="18"/>
      <c r="F99" s="39"/>
      <c r="G99" s="18"/>
      <c r="H99" s="39"/>
      <c r="I99" s="39"/>
      <c r="J99" s="39"/>
      <c r="K99" s="18"/>
    </row>
    <row r="100" spans="1:11" ht="15" customHeight="1">
      <c r="A100" s="14"/>
      <c r="B100" s="18"/>
      <c r="C100" s="18"/>
      <c r="D100" s="18"/>
      <c r="E100" s="22"/>
      <c r="F100" s="149">
        <f>F58</f>
        <v>28332.975000000006</v>
      </c>
      <c r="G100" s="22"/>
      <c r="H100" s="127" t="s">
        <v>149</v>
      </c>
      <c r="I100" s="127"/>
      <c r="J100" s="127"/>
      <c r="K100" s="21"/>
    </row>
    <row r="101" spans="1:11" ht="15" customHeight="1">
      <c r="A101" s="14"/>
      <c r="B101" s="18"/>
      <c r="C101" s="18"/>
      <c r="D101" s="18"/>
      <c r="E101" s="22" t="s">
        <v>11</v>
      </c>
      <c r="F101" s="177">
        <f>Input!E43</f>
        <v>360</v>
      </c>
      <c r="G101" s="22"/>
      <c r="H101" s="192" t="s">
        <v>160</v>
      </c>
      <c r="I101" s="128"/>
      <c r="J101" s="128"/>
      <c r="K101" s="21"/>
    </row>
    <row r="102" spans="1:11" ht="15" customHeight="1">
      <c r="A102" s="14"/>
      <c r="B102" s="18"/>
      <c r="C102" s="18"/>
      <c r="D102" s="18"/>
      <c r="E102" s="22"/>
      <c r="F102" s="153">
        <f>SUM(F100/F101)</f>
        <v>78.70270833333335</v>
      </c>
      <c r="G102" s="22"/>
      <c r="H102" s="127" t="s">
        <v>158</v>
      </c>
      <c r="I102" s="127"/>
      <c r="J102" s="127"/>
      <c r="K102" s="21"/>
    </row>
    <row r="103" spans="1:11" ht="15" customHeight="1">
      <c r="A103" s="14"/>
      <c r="B103" s="18"/>
      <c r="C103" s="18"/>
      <c r="D103" s="18"/>
      <c r="E103" s="22" t="s">
        <v>11</v>
      </c>
      <c r="F103" s="177">
        <f>Input!E44</f>
        <v>24</v>
      </c>
      <c r="G103" s="22"/>
      <c r="H103" s="21" t="s">
        <v>177</v>
      </c>
      <c r="I103" s="129"/>
      <c r="J103" s="129"/>
      <c r="K103" s="21"/>
    </row>
    <row r="104" spans="1:11" ht="15" customHeight="1">
      <c r="A104" s="14"/>
      <c r="B104" s="18"/>
      <c r="C104" s="18"/>
      <c r="D104" s="18"/>
      <c r="E104" s="22"/>
      <c r="F104" s="153">
        <f>SUM(F102/F103)</f>
        <v>3.2792795138888895</v>
      </c>
      <c r="G104" s="22"/>
      <c r="H104" s="127" t="s">
        <v>159</v>
      </c>
      <c r="I104" s="127"/>
      <c r="J104" s="127"/>
      <c r="K104" s="21"/>
    </row>
    <row r="106" spans="1:11" ht="15" customHeight="1">
      <c r="A106" s="14"/>
      <c r="B106" s="18"/>
      <c r="C106" s="18"/>
      <c r="D106" s="18"/>
      <c r="E106" s="22" t="s">
        <v>10</v>
      </c>
      <c r="F106" s="158">
        <f>F102</f>
        <v>78.70270833333335</v>
      </c>
      <c r="G106" s="22"/>
      <c r="H106" s="32" t="s">
        <v>158</v>
      </c>
      <c r="I106" s="32"/>
      <c r="J106" s="32"/>
      <c r="K106" s="21"/>
    </row>
    <row r="107" spans="1:11" ht="15" customHeight="1">
      <c r="A107" s="14"/>
      <c r="B107" s="18"/>
      <c r="C107" s="18"/>
      <c r="D107" s="18"/>
      <c r="E107" s="22" t="s">
        <v>10</v>
      </c>
      <c r="F107" s="158">
        <v>8.5</v>
      </c>
      <c r="G107" s="22"/>
      <c r="H107" s="32" t="s">
        <v>178</v>
      </c>
      <c r="I107" s="32"/>
      <c r="J107" s="32"/>
      <c r="K107" s="21"/>
    </row>
    <row r="108" spans="1:11" ht="15" customHeight="1">
      <c r="A108" s="14"/>
      <c r="B108" s="18"/>
      <c r="C108" s="18"/>
      <c r="D108" s="18"/>
      <c r="E108" s="22" t="s">
        <v>10</v>
      </c>
      <c r="F108" s="159">
        <v>0.75</v>
      </c>
      <c r="G108" s="22"/>
      <c r="H108" s="32" t="s">
        <v>189</v>
      </c>
      <c r="I108" s="32"/>
      <c r="J108" s="32"/>
      <c r="K108" s="21"/>
    </row>
    <row r="109" spans="1:11" ht="15" customHeight="1">
      <c r="A109" s="14"/>
      <c r="B109" s="18"/>
      <c r="C109" s="18"/>
      <c r="D109" s="18"/>
      <c r="E109" s="22" t="s">
        <v>10</v>
      </c>
      <c r="F109" s="160">
        <f>Input!E59</f>
        <v>0.06899</v>
      </c>
      <c r="G109" s="22"/>
      <c r="H109" s="32" t="s">
        <v>304</v>
      </c>
      <c r="I109" s="32"/>
      <c r="J109" s="32"/>
      <c r="K109" s="21"/>
    </row>
    <row r="110" spans="1:11" ht="15" customHeight="1">
      <c r="A110" s="14"/>
      <c r="B110" s="18"/>
      <c r="C110" s="18"/>
      <c r="D110" s="18"/>
      <c r="E110" s="22" t="s">
        <v>10</v>
      </c>
      <c r="F110" s="141">
        <f>Input!E43</f>
        <v>360</v>
      </c>
      <c r="G110" s="22"/>
      <c r="H110" s="32" t="s">
        <v>160</v>
      </c>
      <c r="I110" s="32"/>
      <c r="J110" s="32"/>
      <c r="K110" s="21"/>
    </row>
    <row r="111" spans="1:11" ht="15" customHeight="1">
      <c r="A111" s="14"/>
      <c r="B111" s="18"/>
      <c r="C111" s="18"/>
      <c r="D111" s="18"/>
      <c r="E111" s="22" t="s">
        <v>10</v>
      </c>
      <c r="F111" s="177">
        <f>Input!E44</f>
        <v>24</v>
      </c>
      <c r="G111" s="22"/>
      <c r="H111" s="21" t="s">
        <v>177</v>
      </c>
      <c r="I111" s="129"/>
      <c r="J111" s="129"/>
      <c r="K111" s="21"/>
    </row>
    <row r="112" spans="1:11" ht="15" customHeight="1">
      <c r="A112" s="14"/>
      <c r="B112" s="18"/>
      <c r="C112" s="18"/>
      <c r="D112" s="18"/>
      <c r="E112" s="22" t="s">
        <v>12</v>
      </c>
      <c r="F112" s="148">
        <f>SUM(F106*F107*F108*F109*F110*F111)</f>
        <v>299067.86762325</v>
      </c>
      <c r="G112" s="19"/>
      <c r="H112" s="127" t="s">
        <v>305</v>
      </c>
      <c r="I112" s="127"/>
      <c r="J112" s="127"/>
      <c r="K112" s="21"/>
    </row>
    <row r="113" spans="1:11" ht="15" customHeight="1">
      <c r="A113" s="14"/>
      <c r="B113" s="18"/>
      <c r="C113" s="18"/>
      <c r="D113" s="18"/>
      <c r="E113" s="18"/>
      <c r="F113" s="39"/>
      <c r="G113" s="18"/>
      <c r="H113" s="39"/>
      <c r="I113" s="39"/>
      <c r="J113" s="39"/>
      <c r="K113" s="18"/>
    </row>
    <row r="114" spans="1:11" ht="15" customHeight="1">
      <c r="A114" s="14"/>
      <c r="B114" s="18"/>
      <c r="C114" s="18"/>
      <c r="D114" s="18"/>
      <c r="E114" s="18"/>
      <c r="F114" s="39">
        <f>Input!E12</f>
        <v>10</v>
      </c>
      <c r="G114" s="18"/>
      <c r="H114" s="32" t="s">
        <v>309</v>
      </c>
      <c r="I114" s="32"/>
      <c r="J114" s="32"/>
      <c r="K114" s="21"/>
    </row>
    <row r="115" spans="1:11" ht="15" customHeight="1">
      <c r="A115" s="14"/>
      <c r="B115" s="18"/>
      <c r="C115" s="18"/>
      <c r="D115" s="18"/>
      <c r="E115" s="22" t="s">
        <v>10</v>
      </c>
      <c r="F115" s="39">
        <f>Input!E13</f>
        <v>360</v>
      </c>
      <c r="G115" s="18"/>
      <c r="H115" s="32" t="s">
        <v>179</v>
      </c>
      <c r="I115" s="32"/>
      <c r="J115" s="32"/>
      <c r="K115" s="21"/>
    </row>
    <row r="116" spans="1:11" ht="15" customHeight="1">
      <c r="A116" s="14"/>
      <c r="B116" s="18"/>
      <c r="C116" s="18"/>
      <c r="D116" s="18"/>
      <c r="E116" s="22" t="s">
        <v>10</v>
      </c>
      <c r="F116" s="39">
        <f>Input!E14</f>
        <v>24</v>
      </c>
      <c r="G116" s="18"/>
      <c r="H116" s="39" t="s">
        <v>182</v>
      </c>
      <c r="I116" s="39"/>
      <c r="J116" s="39"/>
      <c r="K116" s="21"/>
    </row>
    <row r="117" spans="1:11" ht="15" customHeight="1">
      <c r="A117" s="14"/>
      <c r="B117" s="18"/>
      <c r="C117" s="18"/>
      <c r="D117" s="18"/>
      <c r="E117" s="22" t="s">
        <v>10</v>
      </c>
      <c r="F117" s="161">
        <v>6.6</v>
      </c>
      <c r="G117" s="18"/>
      <c r="H117" s="39" t="s">
        <v>183</v>
      </c>
      <c r="I117" s="39"/>
      <c r="J117" s="39"/>
      <c r="K117" s="21"/>
    </row>
    <row r="118" spans="1:11" ht="15" customHeight="1">
      <c r="A118" s="14"/>
      <c r="B118" s="18"/>
      <c r="C118" s="18"/>
      <c r="D118" s="18"/>
      <c r="E118" s="22" t="s">
        <v>10</v>
      </c>
      <c r="F118" s="183">
        <f>Input!E59</f>
        <v>0.06899</v>
      </c>
      <c r="G118" s="18"/>
      <c r="H118" s="192" t="s">
        <v>304</v>
      </c>
      <c r="I118" s="128"/>
      <c r="J118" s="128"/>
      <c r="K118" s="21"/>
    </row>
    <row r="119" spans="1:11" ht="15" customHeight="1">
      <c r="A119" s="14"/>
      <c r="B119" s="18"/>
      <c r="C119" s="18"/>
      <c r="D119" s="18"/>
      <c r="E119" s="22" t="s">
        <v>12</v>
      </c>
      <c r="F119" s="162">
        <f>SUM(F114*F115*F116*F117*F118)</f>
        <v>39340.857599999996</v>
      </c>
      <c r="G119" s="18"/>
      <c r="H119" s="127" t="s">
        <v>306</v>
      </c>
      <c r="I119" s="127"/>
      <c r="J119" s="127"/>
      <c r="K119" s="21"/>
    </row>
    <row r="120" spans="1:11" ht="15" customHeight="1">
      <c r="A120" s="14"/>
      <c r="B120" s="18"/>
      <c r="C120" s="18"/>
      <c r="D120" s="18"/>
      <c r="E120" s="18"/>
      <c r="F120" s="39"/>
      <c r="G120" s="18"/>
      <c r="H120" s="39"/>
      <c r="I120" s="39"/>
      <c r="J120" s="39"/>
      <c r="K120" s="18"/>
    </row>
    <row r="121" spans="1:11" ht="15" customHeight="1">
      <c r="A121" s="14"/>
      <c r="B121" s="18"/>
      <c r="C121" s="18"/>
      <c r="D121" s="19" t="s">
        <v>13</v>
      </c>
      <c r="E121" s="22" t="s">
        <v>12</v>
      </c>
      <c r="F121" s="148">
        <f>F119+F112</f>
        <v>338408.72522325</v>
      </c>
      <c r="G121" s="22"/>
      <c r="H121" s="127" t="s">
        <v>307</v>
      </c>
      <c r="I121" s="127"/>
      <c r="J121" s="127"/>
      <c r="K121" s="21"/>
    </row>
    <row r="122" spans="1:11" ht="15" customHeight="1">
      <c r="A122" s="14"/>
      <c r="B122" s="18"/>
      <c r="C122" s="18"/>
      <c r="D122" s="19"/>
      <c r="E122" s="22"/>
      <c r="F122" s="148"/>
      <c r="G122" s="22"/>
      <c r="H122" s="127"/>
      <c r="I122" s="127"/>
      <c r="J122" s="127"/>
      <c r="K122" s="39"/>
    </row>
    <row r="123" spans="1:11" ht="15" customHeight="1">
      <c r="A123" s="14"/>
      <c r="C123" s="19" t="s">
        <v>276</v>
      </c>
      <c r="D123" s="18"/>
      <c r="E123" s="18"/>
      <c r="F123" s="39"/>
      <c r="G123" s="18"/>
      <c r="H123" s="39"/>
      <c r="I123" s="39"/>
      <c r="J123" s="39"/>
      <c r="K123" s="18"/>
    </row>
    <row r="124" spans="1:11" ht="15" customHeight="1">
      <c r="A124" s="14"/>
      <c r="B124" s="18"/>
      <c r="C124" s="18"/>
      <c r="D124" s="18"/>
      <c r="E124" s="22"/>
      <c r="F124" s="163">
        <f>Input!E23</f>
        <v>1200</v>
      </c>
      <c r="G124" s="22"/>
      <c r="H124" s="32" t="s">
        <v>278</v>
      </c>
      <c r="I124" s="32"/>
      <c r="J124" s="32"/>
      <c r="K124" s="21"/>
    </row>
    <row r="125" spans="1:11" ht="15" customHeight="1">
      <c r="A125" s="14"/>
      <c r="B125" s="18"/>
      <c r="C125" s="18"/>
      <c r="D125" s="18"/>
      <c r="E125" s="22" t="s">
        <v>10</v>
      </c>
      <c r="F125" s="177">
        <v>12</v>
      </c>
      <c r="G125" s="22"/>
      <c r="H125" s="192" t="s">
        <v>277</v>
      </c>
      <c r="I125" s="128"/>
      <c r="J125" s="128"/>
      <c r="K125" s="21"/>
    </row>
    <row r="126" spans="1:11" ht="15" customHeight="1">
      <c r="A126" s="14"/>
      <c r="B126" s="18"/>
      <c r="C126" s="18"/>
      <c r="D126" s="18"/>
      <c r="E126" s="22" t="s">
        <v>12</v>
      </c>
      <c r="F126" s="148">
        <f>SUM(F124*F125)</f>
        <v>14400</v>
      </c>
      <c r="G126" s="22"/>
      <c r="H126" s="127" t="s">
        <v>278</v>
      </c>
      <c r="I126" s="127"/>
      <c r="J126" s="127"/>
      <c r="K126" s="21"/>
    </row>
    <row r="127" spans="1:11" ht="15" customHeight="1">
      <c r="A127" s="14"/>
      <c r="B127" s="18"/>
      <c r="C127" s="18"/>
      <c r="D127" s="18"/>
      <c r="E127" s="22"/>
      <c r="F127" s="151"/>
      <c r="G127" s="22"/>
      <c r="H127" s="129"/>
      <c r="I127" s="129"/>
      <c r="J127" s="129"/>
      <c r="K127" s="21"/>
    </row>
    <row r="128" spans="1:11" ht="15" customHeight="1">
      <c r="A128" s="14"/>
      <c r="B128" s="18"/>
      <c r="C128" s="18"/>
      <c r="D128" s="18"/>
      <c r="E128" s="22"/>
      <c r="F128" s="163">
        <f>F124*0.3</f>
        <v>360</v>
      </c>
      <c r="G128" s="22"/>
      <c r="H128" s="32" t="s">
        <v>279</v>
      </c>
      <c r="I128" s="32"/>
      <c r="J128" s="32"/>
      <c r="K128" s="21"/>
    </row>
    <row r="129" spans="1:11" ht="15" customHeight="1">
      <c r="A129" s="14"/>
      <c r="B129" s="18"/>
      <c r="C129" s="18"/>
      <c r="D129" s="18"/>
      <c r="E129" s="22" t="s">
        <v>10</v>
      </c>
      <c r="F129" s="177">
        <v>40</v>
      </c>
      <c r="G129" s="22"/>
      <c r="H129" s="192" t="s">
        <v>277</v>
      </c>
      <c r="I129" s="128"/>
      <c r="J129" s="128"/>
      <c r="K129" s="21"/>
    </row>
    <row r="130" spans="1:11" ht="15" customHeight="1">
      <c r="A130" s="14"/>
      <c r="B130" s="18"/>
      <c r="C130" s="18"/>
      <c r="D130" s="18"/>
      <c r="E130" s="22" t="s">
        <v>12</v>
      </c>
      <c r="F130" s="148">
        <f>SUM(F128*F129)</f>
        <v>14400</v>
      </c>
      <c r="G130" s="22"/>
      <c r="H130" s="127" t="s">
        <v>279</v>
      </c>
      <c r="I130" s="127"/>
      <c r="J130" s="127"/>
      <c r="K130" s="39"/>
    </row>
    <row r="131" spans="1:11" ht="15" customHeight="1">
      <c r="A131" s="14"/>
      <c r="B131" s="18"/>
      <c r="C131" s="18"/>
      <c r="D131" s="18"/>
      <c r="E131" s="22"/>
      <c r="F131" s="148"/>
      <c r="G131" s="22"/>
      <c r="H131" s="127"/>
      <c r="I131" s="127"/>
      <c r="J131" s="127"/>
      <c r="K131" s="39"/>
    </row>
    <row r="132" spans="1:11" ht="15" customHeight="1">
      <c r="A132" s="14"/>
      <c r="B132" s="18"/>
      <c r="C132" s="18"/>
      <c r="D132" s="18"/>
      <c r="E132" s="22" t="s">
        <v>12</v>
      </c>
      <c r="F132" s="148">
        <f>SUM(F126+F130)</f>
        <v>28800</v>
      </c>
      <c r="G132" s="19"/>
      <c r="H132" s="127" t="s">
        <v>280</v>
      </c>
      <c r="I132" s="127"/>
      <c r="J132" s="127"/>
      <c r="K132" s="21"/>
    </row>
    <row r="133" spans="1:11" ht="15" customHeight="1">
      <c r="A133" s="14"/>
      <c r="B133" s="18"/>
      <c r="C133" s="18"/>
      <c r="D133" s="18"/>
      <c r="E133" s="18"/>
      <c r="F133" s="39"/>
      <c r="G133" s="18"/>
      <c r="H133" s="39"/>
      <c r="I133" s="39"/>
      <c r="J133" s="39"/>
      <c r="K133" s="18"/>
    </row>
    <row r="134" spans="1:11" ht="15" customHeight="1">
      <c r="A134" s="14"/>
      <c r="C134" s="19" t="s">
        <v>281</v>
      </c>
      <c r="D134" s="18"/>
      <c r="E134" s="18"/>
      <c r="F134" s="39"/>
      <c r="G134" s="18"/>
      <c r="H134" s="39"/>
      <c r="I134" s="39"/>
      <c r="J134" s="39"/>
      <c r="K134" s="18"/>
    </row>
    <row r="135" spans="1:11" ht="15" customHeight="1">
      <c r="A135" s="14"/>
      <c r="B135" s="18"/>
      <c r="C135" s="18"/>
      <c r="D135" s="18"/>
      <c r="E135" s="18"/>
      <c r="F135" s="164">
        <f>Input!D73</f>
        <v>350000</v>
      </c>
      <c r="G135" s="18"/>
      <c r="H135" s="39" t="s">
        <v>191</v>
      </c>
      <c r="I135" s="39"/>
      <c r="J135" s="39"/>
      <c r="K135" s="21"/>
    </row>
    <row r="136" spans="1:11" ht="15" customHeight="1">
      <c r="A136" s="14"/>
      <c r="B136" s="18"/>
      <c r="C136" s="18"/>
      <c r="D136" s="18"/>
      <c r="E136" s="22" t="s">
        <v>15</v>
      </c>
      <c r="F136" s="184">
        <f>Input!D78</f>
        <v>3000000</v>
      </c>
      <c r="G136" s="22"/>
      <c r="H136" s="192" t="s">
        <v>192</v>
      </c>
      <c r="I136" s="128"/>
      <c r="J136" s="128"/>
      <c r="K136" s="21"/>
    </row>
    <row r="137" spans="1:11" ht="15" customHeight="1">
      <c r="A137" s="14"/>
      <c r="B137" s="18"/>
      <c r="C137" s="18"/>
      <c r="D137" s="18"/>
      <c r="E137" s="18" t="s">
        <v>12</v>
      </c>
      <c r="F137" s="164">
        <f>SUM(F135:F136)</f>
        <v>3350000</v>
      </c>
      <c r="G137" s="18"/>
      <c r="H137" s="39" t="s">
        <v>193</v>
      </c>
      <c r="I137" s="39"/>
      <c r="J137" s="39"/>
      <c r="K137" s="21"/>
    </row>
    <row r="138" spans="1:11" ht="15" customHeight="1">
      <c r="A138" s="14"/>
      <c r="B138" s="18"/>
      <c r="C138" s="18"/>
      <c r="D138" s="18"/>
      <c r="E138" s="22" t="s">
        <v>10</v>
      </c>
      <c r="F138" s="185">
        <f>Input!E60/100</f>
        <v>0.025</v>
      </c>
      <c r="G138" s="18"/>
      <c r="H138" s="21" t="s">
        <v>197</v>
      </c>
      <c r="I138" s="26"/>
      <c r="J138" s="26"/>
      <c r="K138" s="21"/>
    </row>
    <row r="139" spans="1:11" ht="15" customHeight="1">
      <c r="A139" s="14"/>
      <c r="B139" s="18"/>
      <c r="C139" s="18"/>
      <c r="D139" s="18"/>
      <c r="E139" s="22" t="s">
        <v>12</v>
      </c>
      <c r="F139" s="162">
        <f>SUM(F137*F138)</f>
        <v>83750</v>
      </c>
      <c r="G139" s="18"/>
      <c r="H139" s="127" t="s">
        <v>194</v>
      </c>
      <c r="I139" s="127"/>
      <c r="J139" s="127"/>
      <c r="K139" s="21"/>
    </row>
    <row r="140" spans="1:11" ht="15" customHeight="1">
      <c r="A140" s="14"/>
      <c r="B140" s="18"/>
      <c r="C140" s="18"/>
      <c r="D140" s="18"/>
      <c r="E140" s="18"/>
      <c r="F140" s="39"/>
      <c r="G140" s="18"/>
      <c r="H140" s="39"/>
      <c r="I140" s="39"/>
      <c r="J140" s="39"/>
      <c r="K140" s="18"/>
    </row>
    <row r="141" spans="1:11" ht="15" customHeight="1">
      <c r="A141" s="14"/>
      <c r="C141" s="19" t="s">
        <v>282</v>
      </c>
      <c r="D141" s="18"/>
      <c r="E141" s="18"/>
      <c r="F141" s="39"/>
      <c r="G141" s="18"/>
      <c r="H141" s="39"/>
      <c r="I141" s="39"/>
      <c r="J141" s="39"/>
      <c r="K141" s="18"/>
    </row>
    <row r="142" spans="1:11" ht="15" customHeight="1">
      <c r="A142" s="14"/>
      <c r="B142" s="18"/>
      <c r="C142" s="18"/>
      <c r="D142" s="18"/>
      <c r="E142" s="18"/>
      <c r="F142" s="165">
        <f>Input!E61</f>
        <v>12000</v>
      </c>
      <c r="G142" s="18"/>
      <c r="H142" s="39" t="s">
        <v>195</v>
      </c>
      <c r="I142" s="39"/>
      <c r="J142" s="39"/>
      <c r="K142" s="39"/>
    </row>
    <row r="143" spans="1:11" ht="15" customHeight="1">
      <c r="A143" s="14"/>
      <c r="B143" s="18"/>
      <c r="C143" s="18"/>
      <c r="D143" s="18"/>
      <c r="E143" s="18"/>
      <c r="F143" s="39"/>
      <c r="G143" s="18"/>
      <c r="H143" s="39"/>
      <c r="I143" s="39"/>
      <c r="J143" s="39"/>
      <c r="K143" s="18"/>
    </row>
    <row r="144" spans="1:11" ht="15" customHeight="1">
      <c r="A144" s="14"/>
      <c r="C144" s="19" t="s">
        <v>283</v>
      </c>
      <c r="D144" s="18"/>
      <c r="E144" s="18"/>
      <c r="F144" s="39"/>
      <c r="G144" s="18"/>
      <c r="H144" s="39"/>
      <c r="I144" s="39"/>
      <c r="J144" s="39"/>
      <c r="K144" s="18"/>
    </row>
    <row r="145" spans="1:11" ht="15" customHeight="1">
      <c r="A145" s="14"/>
      <c r="B145" s="18"/>
      <c r="C145" s="18"/>
      <c r="D145" s="18"/>
      <c r="E145" s="18"/>
      <c r="F145" s="164">
        <f>Input!D73</f>
        <v>350000</v>
      </c>
      <c r="G145" s="18"/>
      <c r="H145" s="39" t="s">
        <v>191</v>
      </c>
      <c r="I145" s="39"/>
      <c r="J145" s="39"/>
      <c r="K145" s="21"/>
    </row>
    <row r="146" spans="1:11" ht="15" customHeight="1">
      <c r="A146" s="14"/>
      <c r="B146" s="18"/>
      <c r="C146" s="18"/>
      <c r="D146" s="18"/>
      <c r="E146" s="22" t="s">
        <v>15</v>
      </c>
      <c r="F146" s="184">
        <f>Input!D78</f>
        <v>3000000</v>
      </c>
      <c r="G146" s="22"/>
      <c r="H146" s="192" t="s">
        <v>192</v>
      </c>
      <c r="I146" s="128"/>
      <c r="J146" s="128"/>
      <c r="K146" s="21"/>
    </row>
    <row r="147" spans="1:11" ht="15" customHeight="1">
      <c r="A147" s="14"/>
      <c r="B147" s="18"/>
      <c r="C147" s="18"/>
      <c r="D147" s="18"/>
      <c r="E147" s="18" t="s">
        <v>12</v>
      </c>
      <c r="F147" s="164">
        <f>SUM(F145:F146)</f>
        <v>3350000</v>
      </c>
      <c r="G147" s="18"/>
      <c r="H147" s="39" t="s">
        <v>193</v>
      </c>
      <c r="I147" s="39"/>
      <c r="J147" s="39"/>
      <c r="K147" s="21"/>
    </row>
    <row r="148" spans="1:11" ht="15" customHeight="1">
      <c r="A148" s="14"/>
      <c r="B148" s="18"/>
      <c r="C148" s="18"/>
      <c r="D148" s="18"/>
      <c r="E148" s="22" t="s">
        <v>10</v>
      </c>
      <c r="F148" s="185">
        <f>Input!E63/100</f>
        <v>0.005</v>
      </c>
      <c r="G148" s="18"/>
      <c r="H148" s="21" t="s">
        <v>196</v>
      </c>
      <c r="I148" s="26"/>
      <c r="J148" s="26"/>
      <c r="K148" s="21"/>
    </row>
    <row r="149" spans="1:11" ht="15" customHeight="1">
      <c r="A149" s="14"/>
      <c r="B149" s="18"/>
      <c r="C149" s="18"/>
      <c r="D149" s="18"/>
      <c r="E149" s="22" t="s">
        <v>12</v>
      </c>
      <c r="F149" s="162">
        <f>SUM(F147*F148)</f>
        <v>16750</v>
      </c>
      <c r="G149" s="18"/>
      <c r="H149" s="127" t="s">
        <v>198</v>
      </c>
      <c r="I149" s="127"/>
      <c r="J149" s="127"/>
      <c r="K149" s="21"/>
    </row>
    <row r="150" spans="1:11" ht="15" customHeight="1">
      <c r="A150" s="14"/>
      <c r="B150" s="18"/>
      <c r="C150" s="18"/>
      <c r="D150" s="18"/>
      <c r="E150" s="18"/>
      <c r="F150" s="39"/>
      <c r="G150" s="18"/>
      <c r="H150" s="39"/>
      <c r="I150" s="39"/>
      <c r="J150" s="39"/>
      <c r="K150" s="18"/>
    </row>
    <row r="151" spans="1:11" ht="15" customHeight="1">
      <c r="A151" s="14"/>
      <c r="C151" s="19" t="s">
        <v>284</v>
      </c>
      <c r="D151" s="18"/>
      <c r="E151" s="18"/>
      <c r="F151" s="39"/>
      <c r="G151" s="18"/>
      <c r="H151" s="39"/>
      <c r="I151" s="39"/>
      <c r="J151" s="39"/>
      <c r="K151" s="18"/>
    </row>
    <row r="152" spans="1:11" ht="15" customHeight="1">
      <c r="A152" s="14"/>
      <c r="B152" s="18"/>
      <c r="C152" s="18"/>
      <c r="D152" s="18"/>
      <c r="E152" s="18"/>
      <c r="F152" s="164">
        <f>Input!D73</f>
        <v>350000</v>
      </c>
      <c r="G152" s="18"/>
      <c r="H152" s="39" t="s">
        <v>191</v>
      </c>
      <c r="I152" s="39"/>
      <c r="J152" s="39"/>
      <c r="K152" s="21"/>
    </row>
    <row r="153" spans="1:11" ht="15" customHeight="1">
      <c r="A153" s="14"/>
      <c r="B153" s="18"/>
      <c r="C153" s="18"/>
      <c r="D153" s="18"/>
      <c r="E153" s="22" t="s">
        <v>15</v>
      </c>
      <c r="F153" s="184">
        <f>Input!D82</f>
        <v>50000</v>
      </c>
      <c r="G153" s="22"/>
      <c r="H153" s="192" t="s">
        <v>199</v>
      </c>
      <c r="I153" s="128"/>
      <c r="J153" s="128"/>
      <c r="K153" s="21"/>
    </row>
    <row r="154" spans="1:11" ht="15" customHeight="1">
      <c r="A154" s="14"/>
      <c r="B154" s="18"/>
      <c r="C154" s="18"/>
      <c r="D154" s="18"/>
      <c r="E154" s="18" t="s">
        <v>12</v>
      </c>
      <c r="F154" s="164">
        <f>SUM(F152:F153)</f>
        <v>400000</v>
      </c>
      <c r="G154" s="18"/>
      <c r="H154" s="39" t="s">
        <v>200</v>
      </c>
      <c r="I154" s="39"/>
      <c r="J154" s="39"/>
      <c r="K154" s="21"/>
    </row>
    <row r="155" spans="1:11" ht="15" customHeight="1">
      <c r="A155" s="14"/>
      <c r="B155" s="18"/>
      <c r="C155" s="18"/>
      <c r="D155" s="18"/>
      <c r="E155" s="22" t="s">
        <v>10</v>
      </c>
      <c r="F155" s="185">
        <f>Input!E64/100</f>
        <v>0.015</v>
      </c>
      <c r="G155" s="18"/>
      <c r="H155" s="21" t="s">
        <v>201</v>
      </c>
      <c r="I155" s="26"/>
      <c r="J155" s="26"/>
      <c r="K155" s="21"/>
    </row>
    <row r="156" spans="1:11" ht="15" customHeight="1">
      <c r="A156" s="14"/>
      <c r="B156" s="18"/>
      <c r="C156" s="18"/>
      <c r="D156" s="18"/>
      <c r="E156" s="22" t="s">
        <v>12</v>
      </c>
      <c r="F156" s="162">
        <f>SUM(F154*F155)</f>
        <v>6000</v>
      </c>
      <c r="G156" s="18"/>
      <c r="H156" s="127" t="s">
        <v>202</v>
      </c>
      <c r="I156" s="127"/>
      <c r="J156" s="127"/>
      <c r="K156" s="21"/>
    </row>
    <row r="157" spans="1:11" ht="15" customHeight="1">
      <c r="A157" s="14"/>
      <c r="B157" s="18"/>
      <c r="C157" s="18"/>
      <c r="D157" s="18"/>
      <c r="E157" s="22"/>
      <c r="F157" s="162"/>
      <c r="G157" s="18"/>
      <c r="H157" s="127"/>
      <c r="I157" s="127"/>
      <c r="J157" s="127"/>
      <c r="K157" s="39"/>
    </row>
    <row r="158" spans="1:11" ht="15" customHeight="1">
      <c r="A158" s="14"/>
      <c r="C158" s="19" t="s">
        <v>287</v>
      </c>
      <c r="D158" s="18"/>
      <c r="E158" s="18"/>
      <c r="F158" s="39"/>
      <c r="G158" s="18"/>
      <c r="H158" s="39"/>
      <c r="I158" s="39"/>
      <c r="J158" s="39"/>
      <c r="K158" s="18"/>
    </row>
    <row r="159" spans="1:11" ht="15" customHeight="1">
      <c r="A159" s="14"/>
      <c r="B159" s="18"/>
      <c r="C159" s="18"/>
      <c r="D159" s="18"/>
      <c r="E159" s="18"/>
      <c r="F159" s="166">
        <f>Input!E62</f>
        <v>0.015</v>
      </c>
      <c r="G159" s="18"/>
      <c r="H159" s="126" t="s">
        <v>288</v>
      </c>
      <c r="I159" s="126"/>
      <c r="J159" s="126"/>
      <c r="K159" s="21"/>
    </row>
    <row r="160" spans="1:11" ht="15" customHeight="1">
      <c r="A160" s="14"/>
      <c r="B160" s="18"/>
      <c r="C160" s="18"/>
      <c r="D160" s="18"/>
      <c r="E160" s="22" t="s">
        <v>10</v>
      </c>
      <c r="F160" s="186">
        <f>SUM(1000000*Input!E12)</f>
        <v>10000000</v>
      </c>
      <c r="G160" s="22"/>
      <c r="H160" s="192" t="s">
        <v>143</v>
      </c>
      <c r="I160" s="32"/>
      <c r="J160" s="32"/>
      <c r="K160" s="21"/>
    </row>
    <row r="161" spans="1:11" ht="15" customHeight="1">
      <c r="A161" s="14"/>
      <c r="B161" s="18"/>
      <c r="C161" s="18"/>
      <c r="D161" s="18"/>
      <c r="E161" s="22" t="s">
        <v>12</v>
      </c>
      <c r="F161" s="162">
        <f>SUM(F159*F160)</f>
        <v>150000</v>
      </c>
      <c r="G161" s="18"/>
      <c r="H161" s="127" t="s">
        <v>289</v>
      </c>
      <c r="I161" s="127"/>
      <c r="J161" s="127"/>
      <c r="K161" s="21"/>
    </row>
    <row r="162" spans="1:11" ht="15" customHeight="1">
      <c r="A162" s="14"/>
      <c r="B162" s="18"/>
      <c r="C162" s="18"/>
      <c r="D162" s="18"/>
      <c r="E162" s="22"/>
      <c r="F162" s="162"/>
      <c r="G162" s="18"/>
      <c r="H162" s="127"/>
      <c r="I162" s="127"/>
      <c r="J162" s="127"/>
      <c r="K162" s="39"/>
    </row>
    <row r="163" spans="1:11" ht="15" customHeight="1">
      <c r="A163" s="14"/>
      <c r="C163" s="19" t="s">
        <v>290</v>
      </c>
      <c r="D163" s="18"/>
      <c r="E163" s="18"/>
      <c r="F163" s="39"/>
      <c r="G163" s="18"/>
      <c r="H163" s="39"/>
      <c r="I163" s="39"/>
      <c r="J163" s="39"/>
      <c r="K163" s="18"/>
    </row>
    <row r="164" spans="1:11" ht="15" customHeight="1">
      <c r="A164" s="14"/>
      <c r="B164" s="18"/>
      <c r="C164" s="18" t="s">
        <v>49</v>
      </c>
      <c r="D164" s="18"/>
      <c r="E164" s="18"/>
      <c r="F164" s="39"/>
      <c r="G164" s="18"/>
      <c r="H164" s="39"/>
      <c r="I164" s="39"/>
      <c r="J164" s="39"/>
      <c r="K164" s="18"/>
    </row>
    <row r="165" spans="1:11" ht="15" customHeight="1">
      <c r="A165" s="14"/>
      <c r="D165" s="18"/>
      <c r="E165" s="18"/>
      <c r="F165" s="39"/>
      <c r="G165" s="18"/>
      <c r="H165" s="39"/>
      <c r="I165" s="39"/>
      <c r="J165" s="39"/>
      <c r="K165" s="18"/>
    </row>
    <row r="166" spans="1:11" ht="15" customHeight="1">
      <c r="A166" s="14"/>
      <c r="B166" s="18"/>
      <c r="C166" s="18"/>
      <c r="D166" s="18"/>
      <c r="E166" s="18"/>
      <c r="F166" s="164">
        <f>Summary!H21</f>
        <v>635708.72522325</v>
      </c>
      <c r="G166" s="18"/>
      <c r="H166" s="39" t="s">
        <v>36</v>
      </c>
      <c r="I166" s="39"/>
      <c r="J166" s="39"/>
      <c r="K166" s="21"/>
    </row>
    <row r="167" spans="1:11" ht="15" customHeight="1">
      <c r="A167" s="14"/>
      <c r="B167" s="18"/>
      <c r="C167" s="18"/>
      <c r="D167" s="18"/>
      <c r="E167" s="18" t="s">
        <v>11</v>
      </c>
      <c r="F167" s="167">
        <v>2</v>
      </c>
      <c r="G167" s="18"/>
      <c r="H167" s="39" t="s">
        <v>30</v>
      </c>
      <c r="I167" s="39"/>
      <c r="J167" s="39"/>
      <c r="K167" s="21"/>
    </row>
    <row r="168" spans="1:11" ht="15" customHeight="1">
      <c r="A168" s="14"/>
      <c r="B168" s="18"/>
      <c r="C168" s="18"/>
      <c r="D168" s="18"/>
      <c r="E168" s="22" t="s">
        <v>10</v>
      </c>
      <c r="F168" s="187">
        <f>Input!E67</f>
        <v>5.75</v>
      </c>
      <c r="G168" s="22"/>
      <c r="H168" s="192" t="s">
        <v>204</v>
      </c>
      <c r="I168" s="128"/>
      <c r="J168" s="128"/>
      <c r="K168" s="21"/>
    </row>
    <row r="169" spans="1:11" ht="15" customHeight="1">
      <c r="A169" s="14"/>
      <c r="B169" s="18"/>
      <c r="C169" s="18"/>
      <c r="D169" s="18"/>
      <c r="E169" s="22" t="s">
        <v>12</v>
      </c>
      <c r="F169" s="148">
        <f>ROUND((F166/F167)*(F168),2)/100</f>
        <v>18276.6259</v>
      </c>
      <c r="G169" s="19"/>
      <c r="H169" s="127" t="s">
        <v>203</v>
      </c>
      <c r="I169" s="127"/>
      <c r="J169" s="127"/>
      <c r="K169" s="21"/>
    </row>
    <row r="170" spans="1:11" ht="15" customHeight="1">
      <c r="A170" s="14"/>
      <c r="B170" s="18"/>
      <c r="C170" s="18"/>
      <c r="D170" s="18"/>
      <c r="E170" s="18"/>
      <c r="F170" s="39"/>
      <c r="G170" s="18"/>
      <c r="H170" s="39"/>
      <c r="I170" s="39"/>
      <c r="J170" s="39"/>
      <c r="K170" s="18"/>
    </row>
    <row r="171" spans="1:11" ht="18.75" customHeight="1">
      <c r="A171" s="14"/>
      <c r="B171" s="223" t="s">
        <v>32</v>
      </c>
      <c r="C171" s="224"/>
      <c r="D171" s="224"/>
      <c r="E171" s="224"/>
      <c r="F171" s="224"/>
      <c r="G171" s="224"/>
      <c r="H171" s="224"/>
      <c r="I171" s="224"/>
      <c r="J171" s="224"/>
      <c r="K171" s="224"/>
    </row>
    <row r="172" spans="1:11" ht="15" customHeight="1">
      <c r="A172" s="14"/>
      <c r="B172" s="18"/>
      <c r="C172" s="18"/>
      <c r="D172" s="18"/>
      <c r="E172" s="18"/>
      <c r="F172" s="39"/>
      <c r="G172" s="18"/>
      <c r="H172" s="39"/>
      <c r="I172" s="39"/>
      <c r="J172" s="39"/>
      <c r="K172" s="18"/>
    </row>
    <row r="173" spans="1:11" ht="15" customHeight="1">
      <c r="A173" s="14"/>
      <c r="B173" s="4" t="s">
        <v>217</v>
      </c>
      <c r="C173" s="4"/>
      <c r="D173" s="18"/>
      <c r="E173" s="18"/>
      <c r="F173" s="39"/>
      <c r="G173" s="18"/>
      <c r="H173" s="39"/>
      <c r="I173" s="39"/>
      <c r="J173" s="39"/>
      <c r="K173" s="18"/>
    </row>
    <row r="174" spans="1:11" ht="15" customHeight="1">
      <c r="A174" s="14"/>
      <c r="B174" s="18" t="s">
        <v>218</v>
      </c>
      <c r="C174" s="18"/>
      <c r="D174" s="18"/>
      <c r="E174" s="18"/>
      <c r="F174" s="168"/>
      <c r="G174" s="18"/>
      <c r="H174" s="132">
        <f>Input!D71</f>
        <v>175000</v>
      </c>
      <c r="I174" s="132"/>
      <c r="J174" s="132"/>
      <c r="K174" s="21"/>
    </row>
    <row r="175" spans="1:11" ht="15" customHeight="1">
      <c r="A175" s="14"/>
      <c r="B175" s="18" t="s">
        <v>298</v>
      </c>
      <c r="C175" s="33"/>
      <c r="D175" s="18"/>
      <c r="E175" s="18"/>
      <c r="F175" s="168"/>
      <c r="G175" s="18"/>
      <c r="H175" s="133">
        <f>Input!D72</f>
        <v>175000</v>
      </c>
      <c r="I175" s="133"/>
      <c r="J175" s="133"/>
      <c r="K175" s="21"/>
    </row>
    <row r="176" spans="1:11" ht="15" customHeight="1">
      <c r="A176" s="14"/>
      <c r="B176" s="4" t="s">
        <v>1</v>
      </c>
      <c r="C176" s="4"/>
      <c r="D176" s="18"/>
      <c r="E176" s="18"/>
      <c r="F176" s="168"/>
      <c r="G176" s="18"/>
      <c r="H176" s="119">
        <f>SUM(H174:H175)</f>
        <v>350000</v>
      </c>
      <c r="I176" s="119"/>
      <c r="J176" s="119"/>
      <c r="K176" s="21"/>
    </row>
    <row r="177" spans="1:11" ht="15" customHeight="1">
      <c r="A177" s="14"/>
      <c r="B177" s="18"/>
      <c r="C177" s="18"/>
      <c r="D177" s="18"/>
      <c r="E177" s="18"/>
      <c r="F177" s="168"/>
      <c r="G177" s="18"/>
      <c r="H177" s="134"/>
      <c r="I177" s="134"/>
      <c r="J177" s="134"/>
      <c r="K177" s="18"/>
    </row>
    <row r="178" spans="1:11" ht="15" customHeight="1">
      <c r="A178" s="14"/>
      <c r="B178" s="4" t="s">
        <v>18</v>
      </c>
      <c r="C178" s="4"/>
      <c r="D178" s="18"/>
      <c r="E178" s="18"/>
      <c r="F178" s="168"/>
      <c r="G178" s="18"/>
      <c r="H178" s="134"/>
      <c r="I178" s="134"/>
      <c r="J178" s="134"/>
      <c r="K178" s="18"/>
    </row>
    <row r="179" spans="1:11" ht="15" customHeight="1">
      <c r="A179" s="14"/>
      <c r="B179" s="18" t="s">
        <v>218</v>
      </c>
      <c r="C179" s="18"/>
      <c r="D179" s="18"/>
      <c r="E179" s="18"/>
      <c r="F179" s="168"/>
      <c r="G179" s="18"/>
      <c r="H179" s="132">
        <f>Input!D76</f>
        <v>1250000</v>
      </c>
      <c r="I179" s="132"/>
      <c r="J179" s="132"/>
      <c r="K179" s="21"/>
    </row>
    <row r="180" spans="1:11" ht="15" customHeight="1">
      <c r="A180" s="14"/>
      <c r="B180" s="18" t="s">
        <v>298</v>
      </c>
      <c r="C180" s="18"/>
      <c r="D180" s="18"/>
      <c r="E180" s="18"/>
      <c r="F180" s="168"/>
      <c r="G180" s="18"/>
      <c r="H180" s="133">
        <f>Input!D77</f>
        <v>1750000</v>
      </c>
      <c r="I180" s="133"/>
      <c r="J180" s="133"/>
      <c r="K180" s="21"/>
    </row>
    <row r="181" spans="1:11" ht="15" customHeight="1">
      <c r="A181" s="14"/>
      <c r="B181" s="4" t="s">
        <v>2</v>
      </c>
      <c r="C181" s="18"/>
      <c r="D181" s="18"/>
      <c r="E181" s="18"/>
      <c r="F181" s="168"/>
      <c r="G181" s="18"/>
      <c r="H181" s="119">
        <f>SUM(H179:H180)</f>
        <v>3000000</v>
      </c>
      <c r="I181" s="119"/>
      <c r="J181" s="119"/>
      <c r="K181" s="21"/>
    </row>
    <row r="182" spans="1:11" ht="15" customHeight="1">
      <c r="A182" s="14"/>
      <c r="B182" s="18"/>
      <c r="C182" s="18"/>
      <c r="D182" s="18"/>
      <c r="E182" s="18"/>
      <c r="F182" s="168"/>
      <c r="G182" s="18"/>
      <c r="H182" s="134"/>
      <c r="I182" s="134"/>
      <c r="J182" s="134"/>
      <c r="K182" s="18"/>
    </row>
    <row r="183" spans="1:11" ht="15" customHeight="1">
      <c r="A183" s="14"/>
      <c r="B183" s="4" t="s">
        <v>57</v>
      </c>
      <c r="C183" s="18"/>
      <c r="D183" s="18"/>
      <c r="E183" s="18"/>
      <c r="F183" s="168"/>
      <c r="G183" s="18"/>
      <c r="H183" s="119">
        <f>H176+H181</f>
        <v>3350000</v>
      </c>
      <c r="I183" s="119"/>
      <c r="J183" s="119"/>
      <c r="K183" s="21"/>
    </row>
    <row r="184" spans="1:11" ht="15" customHeight="1">
      <c r="A184" s="14"/>
      <c r="B184" s="18"/>
      <c r="C184" s="18"/>
      <c r="D184" s="18"/>
      <c r="E184" s="18"/>
      <c r="F184" s="168"/>
      <c r="G184" s="18"/>
      <c r="H184" s="134"/>
      <c r="I184" s="134"/>
      <c r="J184" s="134"/>
      <c r="K184" s="18"/>
    </row>
    <row r="185" spans="1:11" ht="15" customHeight="1">
      <c r="A185" s="14"/>
      <c r="B185" s="4" t="s">
        <v>219</v>
      </c>
      <c r="C185" s="18"/>
      <c r="D185" s="18"/>
      <c r="E185" s="18"/>
      <c r="F185" s="168"/>
      <c r="G185" s="18"/>
      <c r="H185" s="119">
        <f>Input!D82</f>
        <v>50000</v>
      </c>
      <c r="I185" s="119"/>
      <c r="J185" s="119"/>
      <c r="K185" s="21"/>
    </row>
    <row r="186" spans="1:11" ht="15" customHeight="1">
      <c r="A186" s="14"/>
      <c r="B186" s="18"/>
      <c r="C186" s="18"/>
      <c r="D186" s="18"/>
      <c r="E186" s="18"/>
      <c r="F186" s="168"/>
      <c r="G186" s="18"/>
      <c r="H186" s="134"/>
      <c r="I186" s="134"/>
      <c r="J186" s="134"/>
      <c r="K186" s="18"/>
    </row>
    <row r="187" spans="1:11" ht="15" customHeight="1">
      <c r="A187" s="14"/>
      <c r="B187" s="4" t="s">
        <v>58</v>
      </c>
      <c r="C187" s="18"/>
      <c r="D187" s="18"/>
      <c r="E187" s="18"/>
      <c r="F187" s="168"/>
      <c r="G187" s="18"/>
      <c r="H187" s="119">
        <f>H183+H185</f>
        <v>3400000</v>
      </c>
      <c r="I187" s="119"/>
      <c r="J187" s="119"/>
      <c r="K187" s="21"/>
    </row>
    <row r="188" spans="1:11" ht="15" customHeight="1">
      <c r="A188" s="14"/>
      <c r="B188" s="18"/>
      <c r="C188" s="18"/>
      <c r="D188" s="18"/>
      <c r="E188" s="18"/>
      <c r="F188" s="39"/>
      <c r="G188" s="18"/>
      <c r="H188" s="134"/>
      <c r="I188" s="134"/>
      <c r="J188" s="134"/>
      <c r="K188" s="18"/>
    </row>
    <row r="189" spans="1:11" ht="15" customHeight="1">
      <c r="A189" s="14"/>
      <c r="B189" s="18"/>
      <c r="C189" s="18"/>
      <c r="D189" s="18"/>
      <c r="E189" s="18"/>
      <c r="F189" s="39"/>
      <c r="G189" s="18"/>
      <c r="H189" s="39"/>
      <c r="I189" s="39"/>
      <c r="J189" s="39"/>
      <c r="K189" s="18"/>
    </row>
    <row r="190" spans="1:11" ht="15" customHeight="1">
      <c r="A190" s="16"/>
      <c r="B190" s="4" t="s">
        <v>41</v>
      </c>
      <c r="C190" s="18"/>
      <c r="D190" s="18"/>
      <c r="E190" s="18"/>
      <c r="F190" s="39"/>
      <c r="G190" s="18"/>
      <c r="H190" s="39"/>
      <c r="I190" s="39"/>
      <c r="J190" s="39"/>
      <c r="K190" s="18"/>
    </row>
    <row r="191" spans="1:11" ht="15" customHeight="1">
      <c r="A191" s="14"/>
      <c r="B191" s="19" t="s">
        <v>3</v>
      </c>
      <c r="C191" s="19"/>
      <c r="D191" s="18"/>
      <c r="E191" s="18"/>
      <c r="F191" s="221" t="s">
        <v>51</v>
      </c>
      <c r="G191" s="221"/>
      <c r="H191" s="221"/>
      <c r="I191" s="135"/>
      <c r="J191" s="135"/>
      <c r="K191" s="18"/>
    </row>
    <row r="192" spans="1:11" ht="15" customHeight="1">
      <c r="A192" s="14"/>
      <c r="B192" s="19"/>
      <c r="C192" s="19"/>
      <c r="D192" s="18"/>
      <c r="E192" s="18"/>
      <c r="F192" s="222" t="s">
        <v>299</v>
      </c>
      <c r="G192" s="222"/>
      <c r="H192" s="222"/>
      <c r="I192" s="136"/>
      <c r="J192" s="136"/>
      <c r="K192" s="18"/>
    </row>
    <row r="193" spans="1:11" ht="15" customHeight="1">
      <c r="A193" s="14"/>
      <c r="B193" s="19"/>
      <c r="C193" s="19"/>
      <c r="D193" s="18"/>
      <c r="E193" s="18"/>
      <c r="F193" s="136"/>
      <c r="G193" s="30"/>
      <c r="H193" s="136"/>
      <c r="I193" s="136"/>
      <c r="J193" s="136"/>
      <c r="K193" s="18"/>
    </row>
    <row r="194" spans="1:11" ht="15" customHeight="1">
      <c r="A194" s="14"/>
      <c r="C194" s="19" t="s">
        <v>221</v>
      </c>
      <c r="D194" s="18"/>
      <c r="E194" s="18"/>
      <c r="F194" s="39"/>
      <c r="G194" s="18"/>
      <c r="H194" s="39"/>
      <c r="I194" s="39"/>
      <c r="J194" s="39"/>
      <c r="K194" s="18"/>
    </row>
    <row r="195" spans="1:11" ht="15" customHeight="1">
      <c r="A195" s="14"/>
      <c r="B195" s="18"/>
      <c r="C195" s="18"/>
      <c r="D195" s="18"/>
      <c r="E195" s="18"/>
      <c r="F195" s="164">
        <f>Input!D73</f>
        <v>350000</v>
      </c>
      <c r="G195" s="18"/>
      <c r="H195" s="39" t="s">
        <v>34</v>
      </c>
      <c r="I195" s="39"/>
      <c r="J195" s="39"/>
      <c r="K195" s="21"/>
    </row>
    <row r="196" spans="1:11" ht="15" customHeight="1">
      <c r="A196" s="14"/>
      <c r="B196" s="18"/>
      <c r="C196" s="18"/>
      <c r="D196" s="18"/>
      <c r="E196" s="18" t="s">
        <v>16</v>
      </c>
      <c r="F196" s="54">
        <f>(Input!F73/100)*Input!D73</f>
        <v>35000</v>
      </c>
      <c r="G196" s="18"/>
      <c r="H196" s="39" t="s">
        <v>29</v>
      </c>
      <c r="I196" s="39"/>
      <c r="J196" s="39"/>
      <c r="K196" s="21"/>
    </row>
    <row r="197" spans="1:11" ht="15" customHeight="1">
      <c r="A197" s="14"/>
      <c r="B197" s="18"/>
      <c r="C197" s="18"/>
      <c r="D197" s="18"/>
      <c r="E197" s="18" t="s">
        <v>11</v>
      </c>
      <c r="F197" s="188">
        <f>Input!H73</f>
        <v>20</v>
      </c>
      <c r="G197" s="18"/>
      <c r="H197" s="21" t="s">
        <v>17</v>
      </c>
      <c r="I197" s="26"/>
      <c r="J197" s="26"/>
      <c r="K197" s="21"/>
    </row>
    <row r="198" spans="1:11" ht="15" customHeight="1">
      <c r="A198" s="14"/>
      <c r="B198" s="18"/>
      <c r="C198" s="18"/>
      <c r="D198" s="18"/>
      <c r="E198" s="22" t="s">
        <v>12</v>
      </c>
      <c r="F198" s="148">
        <f>((F195-F196)/F197)</f>
        <v>15750</v>
      </c>
      <c r="G198" s="19"/>
      <c r="H198" s="127"/>
      <c r="I198" s="127"/>
      <c r="J198" s="127"/>
      <c r="K198" s="21"/>
    </row>
    <row r="199" spans="1:11" ht="15" customHeight="1">
      <c r="A199" s="14"/>
      <c r="B199" s="18"/>
      <c r="C199" s="18"/>
      <c r="D199" s="18"/>
      <c r="E199" s="18"/>
      <c r="F199" s="39"/>
      <c r="G199" s="18"/>
      <c r="H199" s="39"/>
      <c r="I199" s="39"/>
      <c r="J199" s="39"/>
      <c r="K199" s="18"/>
    </row>
    <row r="200" spans="1:11" ht="15" customHeight="1">
      <c r="A200" s="14"/>
      <c r="C200" s="19" t="s">
        <v>38</v>
      </c>
      <c r="D200" s="18"/>
      <c r="E200" s="18"/>
      <c r="F200" s="39"/>
      <c r="G200" s="18"/>
      <c r="H200" s="39"/>
      <c r="I200" s="39"/>
      <c r="J200" s="39"/>
      <c r="K200" s="18"/>
    </row>
    <row r="201" spans="1:11" ht="15" customHeight="1">
      <c r="A201" s="14"/>
      <c r="B201" s="18"/>
      <c r="C201" s="18"/>
      <c r="D201" s="18"/>
      <c r="E201" s="18"/>
      <c r="F201" s="164">
        <f>Input!D78</f>
        <v>3000000</v>
      </c>
      <c r="G201" s="18"/>
      <c r="H201" s="39" t="s">
        <v>34</v>
      </c>
      <c r="I201" s="39"/>
      <c r="J201" s="39"/>
      <c r="K201" s="21"/>
    </row>
    <row r="202" spans="1:11" ht="15" customHeight="1">
      <c r="A202" s="14"/>
      <c r="B202" s="18"/>
      <c r="C202" s="18"/>
      <c r="D202" s="18"/>
      <c r="E202" s="18" t="s">
        <v>16</v>
      </c>
      <c r="F202" s="54">
        <f>(Input!F78/100)*Input!D78</f>
        <v>300000</v>
      </c>
      <c r="G202" s="18"/>
      <c r="H202" s="39" t="s">
        <v>29</v>
      </c>
      <c r="I202" s="39"/>
      <c r="J202" s="39"/>
      <c r="K202" s="21"/>
    </row>
    <row r="203" spans="1:11" ht="15" customHeight="1">
      <c r="A203" s="14"/>
      <c r="B203" s="18"/>
      <c r="C203" s="18"/>
      <c r="D203" s="18"/>
      <c r="E203" s="18" t="s">
        <v>11</v>
      </c>
      <c r="F203" s="188">
        <f>Input!H78</f>
        <v>10</v>
      </c>
      <c r="G203" s="18"/>
      <c r="H203" s="21" t="s">
        <v>17</v>
      </c>
      <c r="I203" s="26"/>
      <c r="J203" s="26"/>
      <c r="K203" s="21"/>
    </row>
    <row r="204" spans="1:11" ht="15" customHeight="1">
      <c r="A204" s="14"/>
      <c r="B204" s="18"/>
      <c r="C204" s="18"/>
      <c r="D204" s="18"/>
      <c r="E204" s="22" t="s">
        <v>12</v>
      </c>
      <c r="F204" s="148">
        <f>((F201-F202)/F203)</f>
        <v>270000</v>
      </c>
      <c r="G204" s="19"/>
      <c r="H204" s="127"/>
      <c r="I204" s="127"/>
      <c r="J204" s="127"/>
      <c r="K204" s="21"/>
    </row>
    <row r="205" spans="1:11" ht="15" customHeight="1">
      <c r="A205" s="14"/>
      <c r="B205" s="18"/>
      <c r="C205" s="18"/>
      <c r="D205" s="18"/>
      <c r="E205" s="18"/>
      <c r="F205" s="39"/>
      <c r="G205" s="18"/>
      <c r="H205" s="39" t="s">
        <v>0</v>
      </c>
      <c r="I205" s="39"/>
      <c r="J205" s="39"/>
      <c r="K205" s="18"/>
    </row>
    <row r="206" spans="1:11" ht="15" customHeight="1">
      <c r="A206" s="14"/>
      <c r="B206" s="19" t="s">
        <v>6</v>
      </c>
      <c r="C206" s="19"/>
      <c r="D206" s="18"/>
      <c r="E206" s="18"/>
      <c r="F206" s="217" t="s">
        <v>50</v>
      </c>
      <c r="G206" s="218"/>
      <c r="H206" s="218"/>
      <c r="I206" s="218"/>
      <c r="J206" s="218"/>
      <c r="K206" s="218"/>
    </row>
    <row r="207" spans="1:11" ht="15" customHeight="1">
      <c r="A207" s="14"/>
      <c r="B207" s="19"/>
      <c r="C207" s="19"/>
      <c r="D207" s="18"/>
      <c r="E207" s="18"/>
      <c r="F207" s="137"/>
      <c r="G207" s="31" t="s">
        <v>35</v>
      </c>
      <c r="H207" s="137"/>
      <c r="I207" s="137"/>
      <c r="J207" s="137"/>
      <c r="K207" s="65"/>
    </row>
    <row r="208" spans="1:11" ht="15" customHeight="1">
      <c r="A208" s="14"/>
      <c r="C208" s="19" t="s">
        <v>39</v>
      </c>
      <c r="D208" s="18"/>
      <c r="E208" s="18"/>
      <c r="F208" s="39"/>
      <c r="G208" s="18"/>
      <c r="H208" s="39"/>
      <c r="I208" s="39"/>
      <c r="J208" s="39"/>
      <c r="K208" s="18"/>
    </row>
    <row r="209" spans="1:11" ht="15" customHeight="1">
      <c r="A209" s="14"/>
      <c r="B209" s="18"/>
      <c r="C209" s="18"/>
      <c r="D209" s="18"/>
      <c r="E209" s="18"/>
      <c r="F209" s="164">
        <f>F195</f>
        <v>350000</v>
      </c>
      <c r="G209" s="18"/>
      <c r="H209" s="39" t="s">
        <v>34</v>
      </c>
      <c r="I209" s="39"/>
      <c r="J209" s="39"/>
      <c r="K209" s="21"/>
    </row>
    <row r="210" spans="1:11" ht="15" customHeight="1">
      <c r="A210" s="14"/>
      <c r="B210" s="18"/>
      <c r="C210" s="18"/>
      <c r="D210" s="18"/>
      <c r="E210" s="18" t="s">
        <v>15</v>
      </c>
      <c r="F210" s="164">
        <f>F196</f>
        <v>35000</v>
      </c>
      <c r="G210" s="18"/>
      <c r="H210" s="39" t="s">
        <v>29</v>
      </c>
      <c r="I210" s="39"/>
      <c r="J210" s="39"/>
      <c r="K210" s="21"/>
    </row>
    <row r="211" spans="1:11" ht="15" customHeight="1">
      <c r="A211" s="14"/>
      <c r="B211" s="18"/>
      <c r="C211" s="18"/>
      <c r="D211" s="18"/>
      <c r="E211" s="18" t="s">
        <v>11</v>
      </c>
      <c r="F211" s="167">
        <v>2</v>
      </c>
      <c r="G211" s="18"/>
      <c r="H211" s="39" t="s">
        <v>30</v>
      </c>
      <c r="I211" s="39"/>
      <c r="J211" s="39"/>
      <c r="K211" s="21"/>
    </row>
    <row r="212" spans="1:11" ht="15" customHeight="1">
      <c r="A212" s="14"/>
      <c r="B212" s="18"/>
      <c r="C212" s="18"/>
      <c r="D212" s="18"/>
      <c r="E212" s="18" t="s">
        <v>10</v>
      </c>
      <c r="F212" s="187">
        <f>Input!E66</f>
        <v>1.75</v>
      </c>
      <c r="G212" s="18"/>
      <c r="H212" s="21" t="s">
        <v>53</v>
      </c>
      <c r="I212" s="26"/>
      <c r="J212" s="26"/>
      <c r="K212" s="21"/>
    </row>
    <row r="213" spans="1:11" ht="15" customHeight="1">
      <c r="A213" s="14"/>
      <c r="B213" s="18"/>
      <c r="C213" s="18"/>
      <c r="D213" s="18"/>
      <c r="E213" s="22" t="s">
        <v>12</v>
      </c>
      <c r="F213" s="148">
        <f>(((F209+F210)/F211)*(F212/100))</f>
        <v>3368.7500000000005</v>
      </c>
      <c r="G213" s="19"/>
      <c r="H213" s="127"/>
      <c r="I213" s="127"/>
      <c r="J213" s="127"/>
      <c r="K213" s="21"/>
    </row>
    <row r="214" spans="1:11" ht="15" customHeight="1">
      <c r="A214" s="14"/>
      <c r="B214" s="18"/>
      <c r="C214" s="18"/>
      <c r="D214" s="18"/>
      <c r="E214" s="18"/>
      <c r="F214" s="39"/>
      <c r="G214" s="18"/>
      <c r="H214" s="39"/>
      <c r="I214" s="39"/>
      <c r="J214" s="39"/>
      <c r="K214" s="18"/>
    </row>
    <row r="215" spans="1:11" ht="15" customHeight="1">
      <c r="A215" s="14"/>
      <c r="C215" s="19" t="s">
        <v>40</v>
      </c>
      <c r="D215" s="18"/>
      <c r="E215" s="18"/>
      <c r="F215" s="39"/>
      <c r="G215" s="18"/>
      <c r="H215" s="39"/>
      <c r="I215" s="39"/>
      <c r="J215" s="39"/>
      <c r="K215" s="18"/>
    </row>
    <row r="216" spans="1:11" ht="15" customHeight="1">
      <c r="A216" s="14"/>
      <c r="B216" s="18"/>
      <c r="C216" s="18"/>
      <c r="D216" s="18"/>
      <c r="E216" s="18"/>
      <c r="F216" s="164">
        <f>F201</f>
        <v>3000000</v>
      </c>
      <c r="G216" s="18"/>
      <c r="H216" s="39" t="s">
        <v>34</v>
      </c>
      <c r="I216" s="39"/>
      <c r="J216" s="39"/>
      <c r="K216" s="21"/>
    </row>
    <row r="217" spans="1:11" ht="15" customHeight="1">
      <c r="A217" s="14"/>
      <c r="B217" s="18"/>
      <c r="C217" s="18"/>
      <c r="D217" s="18"/>
      <c r="E217" s="18" t="s">
        <v>15</v>
      </c>
      <c r="F217" s="164">
        <f>F202</f>
        <v>300000</v>
      </c>
      <c r="G217" s="18"/>
      <c r="H217" s="39" t="s">
        <v>29</v>
      </c>
      <c r="I217" s="39"/>
      <c r="J217" s="39"/>
      <c r="K217" s="21"/>
    </row>
    <row r="218" spans="1:11" ht="15" customHeight="1">
      <c r="A218" s="14"/>
      <c r="B218" s="18"/>
      <c r="C218" s="18"/>
      <c r="D218" s="18"/>
      <c r="E218" s="18" t="s">
        <v>11</v>
      </c>
      <c r="F218" s="167">
        <v>2</v>
      </c>
      <c r="G218" s="18"/>
      <c r="H218" s="39" t="s">
        <v>30</v>
      </c>
      <c r="I218" s="39"/>
      <c r="J218" s="39"/>
      <c r="K218" s="21"/>
    </row>
    <row r="219" spans="1:11" ht="15" customHeight="1">
      <c r="A219" s="14"/>
      <c r="B219" s="18"/>
      <c r="C219" s="18"/>
      <c r="D219" s="18"/>
      <c r="E219" s="18" t="s">
        <v>10</v>
      </c>
      <c r="F219" s="169">
        <f>Input!E66</f>
        <v>1.75</v>
      </c>
      <c r="G219" s="18"/>
      <c r="H219" s="39" t="s">
        <v>53</v>
      </c>
      <c r="I219" s="39"/>
      <c r="J219" s="39"/>
      <c r="K219" s="21"/>
    </row>
    <row r="220" spans="1:11" ht="15" customHeight="1">
      <c r="A220" s="14"/>
      <c r="B220" s="18"/>
      <c r="C220" s="18"/>
      <c r="D220" s="18"/>
      <c r="E220" s="18" t="s">
        <v>12</v>
      </c>
      <c r="F220" s="148">
        <f>(((F216+F217)/F218)*(F219/100))</f>
        <v>28875.000000000004</v>
      </c>
      <c r="G220" s="4"/>
      <c r="H220" s="131"/>
      <c r="I220" s="131"/>
      <c r="J220" s="131"/>
      <c r="K220" s="21"/>
    </row>
    <row r="221" spans="1:11" ht="15" customHeight="1">
      <c r="A221" s="14"/>
      <c r="B221" s="18"/>
      <c r="C221" s="18"/>
      <c r="D221" s="18"/>
      <c r="E221" s="18"/>
      <c r="F221" s="39"/>
      <c r="G221" s="18"/>
      <c r="H221" s="39"/>
      <c r="I221" s="39"/>
      <c r="J221" s="39"/>
      <c r="K221" s="18"/>
    </row>
    <row r="222" spans="1:11" ht="15" customHeight="1">
      <c r="A222" s="14"/>
      <c r="C222" s="19" t="s">
        <v>222</v>
      </c>
      <c r="D222" s="18"/>
      <c r="E222" s="18"/>
      <c r="F222" s="39"/>
      <c r="G222" s="18"/>
      <c r="H222" s="39"/>
      <c r="I222" s="39"/>
      <c r="J222" s="39"/>
      <c r="K222" s="18"/>
    </row>
    <row r="223" spans="1:11" ht="15" customHeight="1">
      <c r="A223" s="14"/>
      <c r="B223" s="18"/>
      <c r="C223" s="18"/>
      <c r="D223" s="18"/>
      <c r="E223" s="18"/>
      <c r="F223" s="164">
        <f>Input!D82</f>
        <v>50000</v>
      </c>
      <c r="G223" s="18"/>
      <c r="H223" s="39" t="s">
        <v>223</v>
      </c>
      <c r="I223" s="39"/>
      <c r="J223" s="39"/>
      <c r="K223" s="21"/>
    </row>
    <row r="224" spans="1:11" ht="15" customHeight="1">
      <c r="A224" s="14"/>
      <c r="B224" s="18"/>
      <c r="C224" s="18"/>
      <c r="D224" s="18"/>
      <c r="E224" s="22" t="s">
        <v>10</v>
      </c>
      <c r="F224" s="187">
        <f>Input!E66</f>
        <v>1.75</v>
      </c>
      <c r="G224" s="20"/>
      <c r="H224" s="192" t="s">
        <v>53</v>
      </c>
      <c r="I224" s="128"/>
      <c r="J224" s="128"/>
      <c r="K224" s="21"/>
    </row>
    <row r="225" spans="1:11" ht="15" customHeight="1">
      <c r="A225" s="14"/>
      <c r="B225" s="18"/>
      <c r="C225" s="18"/>
      <c r="D225" s="18"/>
      <c r="E225" s="22" t="s">
        <v>12</v>
      </c>
      <c r="F225" s="148">
        <f>SUM(F223*(F224/100))</f>
        <v>875.0000000000001</v>
      </c>
      <c r="G225" s="19"/>
      <c r="H225" s="127"/>
      <c r="I225" s="127"/>
      <c r="J225" s="127"/>
      <c r="K225" s="21"/>
    </row>
    <row r="226" spans="1:11" ht="15" customHeight="1">
      <c r="A226" s="14"/>
      <c r="B226" s="18"/>
      <c r="C226" s="18"/>
      <c r="D226" s="18"/>
      <c r="E226" s="18"/>
      <c r="F226" s="39"/>
      <c r="G226" s="18"/>
      <c r="H226" s="39"/>
      <c r="I226" s="39"/>
      <c r="J226" s="39"/>
      <c r="K226" s="18"/>
    </row>
    <row r="227" spans="1:12" ht="15" customHeight="1">
      <c r="A227" s="16"/>
      <c r="B227" s="19" t="s">
        <v>60</v>
      </c>
      <c r="C227" s="19"/>
      <c r="D227" s="18"/>
      <c r="E227" s="18"/>
      <c r="F227" s="39"/>
      <c r="G227" s="18"/>
      <c r="H227" s="39"/>
      <c r="I227" s="39"/>
      <c r="J227" s="39"/>
      <c r="K227" s="18"/>
      <c r="L227" s="14"/>
    </row>
    <row r="228" spans="1:11" ht="15" customHeight="1">
      <c r="A228" s="14"/>
      <c r="C228" s="4" t="s">
        <v>208</v>
      </c>
      <c r="D228" s="18"/>
      <c r="E228" s="18"/>
      <c r="F228" s="39"/>
      <c r="G228" s="18"/>
      <c r="H228" s="39"/>
      <c r="I228" s="39"/>
      <c r="J228" s="39"/>
      <c r="K228" s="18"/>
    </row>
    <row r="229" spans="1:11" ht="15" customHeight="1">
      <c r="A229" s="14"/>
      <c r="B229" s="18"/>
      <c r="C229" s="18"/>
      <c r="D229" s="18"/>
      <c r="E229" s="22"/>
      <c r="F229" s="141">
        <f>Input!E47</f>
        <v>1</v>
      </c>
      <c r="G229" s="22"/>
      <c r="H229" s="126" t="s">
        <v>206</v>
      </c>
      <c r="I229" s="126"/>
      <c r="J229" s="126"/>
      <c r="K229" s="21"/>
    </row>
    <row r="230" spans="1:11" ht="15" customHeight="1">
      <c r="A230" s="14"/>
      <c r="B230" s="18"/>
      <c r="C230" s="18"/>
      <c r="D230" s="18"/>
      <c r="E230" s="22" t="s">
        <v>10</v>
      </c>
      <c r="F230" s="141">
        <f>Input!E43</f>
        <v>360</v>
      </c>
      <c r="G230" s="22"/>
      <c r="H230" s="32" t="s">
        <v>80</v>
      </c>
      <c r="I230" s="32"/>
      <c r="J230" s="32"/>
      <c r="K230" s="21"/>
    </row>
    <row r="231" spans="1:11" ht="15" customHeight="1">
      <c r="A231" s="14"/>
      <c r="B231" s="18"/>
      <c r="C231" s="18"/>
      <c r="D231" s="18"/>
      <c r="E231" s="22" t="s">
        <v>10</v>
      </c>
      <c r="F231" s="141">
        <f>Input!E44</f>
        <v>24</v>
      </c>
      <c r="G231" s="22"/>
      <c r="H231" s="77" t="s">
        <v>81</v>
      </c>
      <c r="I231" s="77"/>
      <c r="J231" s="77"/>
      <c r="K231" s="21"/>
    </row>
    <row r="232" spans="1:11" ht="15" customHeight="1">
      <c r="A232" s="14"/>
      <c r="B232" s="18"/>
      <c r="C232" s="18"/>
      <c r="D232" s="18"/>
      <c r="E232" s="22" t="s">
        <v>10</v>
      </c>
      <c r="F232" s="180">
        <f>Input!E48</f>
        <v>20</v>
      </c>
      <c r="G232" s="22"/>
      <c r="H232" s="21" t="s">
        <v>162</v>
      </c>
      <c r="I232" s="129"/>
      <c r="J232" s="129"/>
      <c r="K232" s="21"/>
    </row>
    <row r="233" spans="1:11" ht="15" customHeight="1">
      <c r="A233" s="14"/>
      <c r="B233" s="18"/>
      <c r="C233" s="18"/>
      <c r="D233" s="18"/>
      <c r="E233" s="22"/>
      <c r="F233" s="163">
        <f>SUM(F229*F230*F231*F232)</f>
        <v>172800</v>
      </c>
      <c r="G233" s="22"/>
      <c r="H233" s="39" t="s">
        <v>207</v>
      </c>
      <c r="I233" s="39"/>
      <c r="J233" s="39"/>
      <c r="K233" s="21"/>
    </row>
    <row r="234" spans="1:11" ht="15" customHeight="1">
      <c r="A234" s="14"/>
      <c r="B234" s="18"/>
      <c r="C234" s="18"/>
      <c r="D234" s="18"/>
      <c r="E234" s="18" t="s">
        <v>15</v>
      </c>
      <c r="F234" s="189">
        <f>Input!E45*Input!E46</f>
        <v>30000</v>
      </c>
      <c r="G234" s="22"/>
      <c r="H234" s="21" t="s">
        <v>211</v>
      </c>
      <c r="I234" s="26"/>
      <c r="J234" s="26"/>
      <c r="K234" s="21"/>
    </row>
    <row r="235" spans="1:11" ht="15" customHeight="1">
      <c r="A235" s="14"/>
      <c r="B235" s="18"/>
      <c r="D235" s="27" t="s">
        <v>56</v>
      </c>
      <c r="E235" s="18" t="s">
        <v>12</v>
      </c>
      <c r="F235" s="134">
        <f>F234+F233</f>
        <v>202800</v>
      </c>
      <c r="G235" s="18"/>
      <c r="H235" s="39" t="s">
        <v>209</v>
      </c>
      <c r="I235" s="39"/>
      <c r="J235" s="39"/>
      <c r="K235" s="18"/>
    </row>
    <row r="236" spans="1:11" ht="15" customHeight="1">
      <c r="A236" s="14"/>
      <c r="B236" s="18"/>
      <c r="D236" s="27"/>
      <c r="E236" s="18"/>
      <c r="F236" s="161">
        <f>SUM((Input!E43*Input!E44)*Input!E47)/(40*48)+Input!E46</f>
        <v>5</v>
      </c>
      <c r="G236" s="18"/>
      <c r="H236" s="39" t="s">
        <v>215</v>
      </c>
      <c r="I236" s="39"/>
      <c r="J236" s="39"/>
      <c r="K236" s="21"/>
    </row>
    <row r="237" spans="1:11" ht="15" customHeight="1">
      <c r="A237" s="14"/>
      <c r="C237" s="4" t="s">
        <v>210</v>
      </c>
      <c r="D237" s="18"/>
      <c r="E237" s="18"/>
      <c r="F237" s="39"/>
      <c r="G237" s="18"/>
      <c r="H237" s="39"/>
      <c r="I237" s="39"/>
      <c r="J237" s="39"/>
      <c r="K237" s="18"/>
    </row>
    <row r="238" spans="1:11" ht="15" customHeight="1">
      <c r="A238" s="14"/>
      <c r="B238" s="18"/>
      <c r="C238" s="18"/>
      <c r="D238" s="18"/>
      <c r="E238" s="22"/>
      <c r="F238" s="141">
        <f>Input!E19</f>
        <v>1</v>
      </c>
      <c r="G238" s="22"/>
      <c r="H238" s="126" t="s">
        <v>206</v>
      </c>
      <c r="I238" s="126"/>
      <c r="J238" s="126"/>
      <c r="K238" s="21"/>
    </row>
    <row r="239" spans="1:11" ht="15" customHeight="1">
      <c r="A239" s="14"/>
      <c r="B239" s="18"/>
      <c r="C239" s="18"/>
      <c r="D239" s="18"/>
      <c r="E239" s="22" t="s">
        <v>10</v>
      </c>
      <c r="F239" s="141">
        <f>Input!E13</f>
        <v>360</v>
      </c>
      <c r="G239" s="22"/>
      <c r="H239" s="32" t="s">
        <v>80</v>
      </c>
      <c r="I239" s="32"/>
      <c r="J239" s="32"/>
      <c r="K239" s="21"/>
    </row>
    <row r="240" spans="1:11" ht="15" customHeight="1">
      <c r="A240" s="14"/>
      <c r="B240" s="18"/>
      <c r="C240" s="18"/>
      <c r="D240" s="18"/>
      <c r="E240" s="22" t="s">
        <v>10</v>
      </c>
      <c r="F240" s="141">
        <f>Input!E14</f>
        <v>24</v>
      </c>
      <c r="G240" s="22"/>
      <c r="H240" s="77" t="s">
        <v>81</v>
      </c>
      <c r="I240" s="77"/>
      <c r="J240" s="77"/>
      <c r="K240" s="21"/>
    </row>
    <row r="241" spans="1:11" ht="15" customHeight="1">
      <c r="A241" s="14"/>
      <c r="B241" s="18"/>
      <c r="C241" s="18"/>
      <c r="D241" s="18"/>
      <c r="E241" s="22" t="s">
        <v>10</v>
      </c>
      <c r="F241" s="180">
        <f>Input!E20</f>
        <v>25</v>
      </c>
      <c r="G241" s="22"/>
      <c r="H241" s="21" t="s">
        <v>162</v>
      </c>
      <c r="I241" s="129"/>
      <c r="J241" s="129"/>
      <c r="K241" s="21"/>
    </row>
    <row r="242" spans="1:11" ht="15" customHeight="1">
      <c r="A242" s="14"/>
      <c r="B242" s="18"/>
      <c r="C242" s="18"/>
      <c r="D242" s="18"/>
      <c r="E242" s="22"/>
      <c r="F242" s="163">
        <f>SUM(F238*F239*F240*F241)</f>
        <v>216000</v>
      </c>
      <c r="G242" s="22"/>
      <c r="H242" s="39" t="s">
        <v>207</v>
      </c>
      <c r="I242" s="39"/>
      <c r="J242" s="39"/>
      <c r="K242" s="21"/>
    </row>
    <row r="243" spans="1:11" ht="15" customHeight="1">
      <c r="A243" s="14"/>
      <c r="B243" s="18"/>
      <c r="C243" s="18"/>
      <c r="D243" s="18"/>
      <c r="E243" s="22"/>
      <c r="F243" s="163">
        <f>Input!E17*Input!E18</f>
        <v>30000</v>
      </c>
      <c r="G243" s="22"/>
      <c r="H243" s="39" t="s">
        <v>213</v>
      </c>
      <c r="I243" s="39"/>
      <c r="J243" s="39"/>
      <c r="K243" s="21"/>
    </row>
    <row r="244" spans="1:11" ht="15" customHeight="1">
      <c r="A244" s="14"/>
      <c r="B244" s="18"/>
      <c r="C244" s="18"/>
      <c r="D244" s="18"/>
      <c r="E244" s="18" t="s">
        <v>15</v>
      </c>
      <c r="F244" s="189">
        <f>Input!E15*Input!E16</f>
        <v>65000</v>
      </c>
      <c r="G244" s="22"/>
      <c r="H244" s="21" t="s">
        <v>212</v>
      </c>
      <c r="I244" s="26"/>
      <c r="J244" s="26"/>
      <c r="K244" s="21"/>
    </row>
    <row r="245" spans="1:11" ht="15" customHeight="1">
      <c r="A245" s="14"/>
      <c r="B245" s="18"/>
      <c r="D245" s="27" t="s">
        <v>56</v>
      </c>
      <c r="E245" s="18" t="s">
        <v>12</v>
      </c>
      <c r="F245" s="134">
        <f>F244+F242+F243</f>
        <v>311000</v>
      </c>
      <c r="G245" s="18"/>
      <c r="H245" s="39" t="s">
        <v>239</v>
      </c>
      <c r="I245" s="39"/>
      <c r="J245" s="39"/>
      <c r="K245" s="18"/>
    </row>
    <row r="246" spans="1:11" ht="15" customHeight="1">
      <c r="A246" s="14"/>
      <c r="B246" s="18"/>
      <c r="D246" s="27"/>
      <c r="E246" s="18"/>
      <c r="F246" s="161">
        <f>SUM((Input!E13*Input!E14)*Input!E19)/(40*48)+Input!E16+Input!E18</f>
        <v>6.5</v>
      </c>
      <c r="G246" s="18"/>
      <c r="H246" s="39" t="s">
        <v>215</v>
      </c>
      <c r="I246" s="39"/>
      <c r="J246" s="39"/>
      <c r="K246" s="21"/>
    </row>
    <row r="247" spans="1:11" ht="15" customHeight="1">
      <c r="A247" s="14"/>
      <c r="B247" s="18"/>
      <c r="D247" s="27"/>
      <c r="E247" s="18"/>
      <c r="F247" s="134"/>
      <c r="G247" s="18"/>
      <c r="H247" s="39"/>
      <c r="I247" s="39"/>
      <c r="J247" s="39"/>
      <c r="K247" s="18"/>
    </row>
    <row r="248" spans="1:11" ht="15" customHeight="1">
      <c r="A248" s="14"/>
      <c r="B248" s="18"/>
      <c r="C248" s="19" t="s">
        <v>14</v>
      </c>
      <c r="E248" s="22" t="s">
        <v>12</v>
      </c>
      <c r="F248" s="148">
        <f>F235+F245</f>
        <v>513800</v>
      </c>
      <c r="G248" s="18"/>
      <c r="H248" s="127" t="s">
        <v>214</v>
      </c>
      <c r="I248" s="127"/>
      <c r="J248" s="127"/>
      <c r="K248" s="21"/>
    </row>
    <row r="249" spans="1:11" ht="15" customHeight="1">
      <c r="A249" s="14"/>
      <c r="B249" s="18"/>
      <c r="C249" s="19" t="s">
        <v>14</v>
      </c>
      <c r="E249" s="22" t="s">
        <v>12</v>
      </c>
      <c r="F249" s="170">
        <f>SUM(F246+F236)</f>
        <v>11.5</v>
      </c>
      <c r="G249" s="80"/>
      <c r="H249" s="131" t="s">
        <v>215</v>
      </c>
      <c r="I249" s="131"/>
      <c r="J249" s="131"/>
      <c r="K249" s="21"/>
    </row>
    <row r="250" spans="1:11" ht="15" customHeight="1">
      <c r="A250" s="14"/>
      <c r="B250" s="18"/>
      <c r="C250" s="19"/>
      <c r="E250" s="22"/>
      <c r="F250" s="170"/>
      <c r="G250" s="80"/>
      <c r="H250" s="131"/>
      <c r="I250" s="131"/>
      <c r="J250" s="131"/>
      <c r="K250" s="39"/>
    </row>
    <row r="251" spans="1:11" ht="15" customHeight="1">
      <c r="A251" s="14"/>
      <c r="B251" s="19" t="s">
        <v>224</v>
      </c>
      <c r="C251" s="19"/>
      <c r="D251" s="18"/>
      <c r="E251" s="18"/>
      <c r="F251" s="39"/>
      <c r="G251" s="18"/>
      <c r="H251" s="39"/>
      <c r="I251" s="39"/>
      <c r="J251" s="39"/>
      <c r="K251" s="18"/>
    </row>
    <row r="252" spans="1:11" ht="15" customHeight="1">
      <c r="A252" s="14"/>
      <c r="C252" s="19" t="s">
        <v>231</v>
      </c>
      <c r="D252" s="18"/>
      <c r="E252" s="18"/>
      <c r="F252" s="39"/>
      <c r="G252" s="18"/>
      <c r="H252" s="39"/>
      <c r="I252" s="39"/>
      <c r="J252" s="39"/>
      <c r="K252" s="18"/>
    </row>
    <row r="253" spans="1:11" ht="15" customHeight="1">
      <c r="A253" s="14"/>
      <c r="B253" s="18"/>
      <c r="C253" s="18"/>
      <c r="D253" s="18"/>
      <c r="E253" s="22"/>
      <c r="F253" s="171">
        <f>Input!E33</f>
        <v>4.25</v>
      </c>
      <c r="G253" s="22"/>
      <c r="H253" s="126" t="s">
        <v>262</v>
      </c>
      <c r="I253" s="126"/>
      <c r="J253" s="126"/>
      <c r="K253" s="21"/>
    </row>
    <row r="254" spans="1:11" ht="15" customHeight="1">
      <c r="A254" s="14"/>
      <c r="B254" s="18"/>
      <c r="C254" s="18"/>
      <c r="D254" s="18"/>
      <c r="E254" s="22" t="s">
        <v>10</v>
      </c>
      <c r="F254" s="171">
        <f>Input!E42</f>
        <v>0.995</v>
      </c>
      <c r="G254" s="22"/>
      <c r="H254" s="130" t="s">
        <v>263</v>
      </c>
      <c r="I254" s="130"/>
      <c r="J254" s="130"/>
      <c r="K254" s="21"/>
    </row>
    <row r="255" spans="1:11" ht="15" customHeight="1">
      <c r="A255" s="14"/>
      <c r="B255" s="18"/>
      <c r="C255" s="18"/>
      <c r="D255" s="18"/>
      <c r="E255" s="18" t="s">
        <v>11</v>
      </c>
      <c r="F255" s="195">
        <v>3.7854</v>
      </c>
      <c r="G255" s="22"/>
      <c r="H255" s="21" t="s">
        <v>264</v>
      </c>
      <c r="I255" s="129"/>
      <c r="J255" s="129"/>
      <c r="K255" s="21"/>
    </row>
    <row r="256" spans="1:11" ht="15" customHeight="1">
      <c r="A256" s="14"/>
      <c r="B256" s="18"/>
      <c r="C256" s="18"/>
      <c r="D256" s="18"/>
      <c r="E256" s="116" t="s">
        <v>12</v>
      </c>
      <c r="F256" s="171">
        <f>SUM(F253*F254)/F255</f>
        <v>1.117121044011201</v>
      </c>
      <c r="G256" s="22"/>
      <c r="H256" s="126" t="s">
        <v>265</v>
      </c>
      <c r="I256" s="126"/>
      <c r="J256" s="126"/>
      <c r="K256" s="21"/>
    </row>
    <row r="257" spans="1:11" ht="15" customHeight="1">
      <c r="A257" s="14"/>
      <c r="B257" s="18"/>
      <c r="C257" s="18"/>
      <c r="D257" s="18"/>
      <c r="E257" s="18" t="s">
        <v>16</v>
      </c>
      <c r="F257" s="190">
        <f>Input!E35*0.95</f>
        <v>0.17099999999999999</v>
      </c>
      <c r="G257" s="22"/>
      <c r="H257" s="21" t="s">
        <v>268</v>
      </c>
      <c r="I257" s="129"/>
      <c r="J257" s="129"/>
      <c r="K257" s="21"/>
    </row>
    <row r="258" spans="1:11" ht="15" customHeight="1">
      <c r="A258" s="14"/>
      <c r="B258" s="18"/>
      <c r="C258" s="18"/>
      <c r="D258" s="18"/>
      <c r="E258" s="22"/>
      <c r="F258" s="171">
        <f>SUM(F256-F257)</f>
        <v>0.9461210440112009</v>
      </c>
      <c r="G258" s="22"/>
      <c r="H258" s="126" t="s">
        <v>266</v>
      </c>
      <c r="I258" s="126"/>
      <c r="J258" s="126"/>
      <c r="K258" s="21"/>
    </row>
    <row r="259" spans="1:11" ht="15" customHeight="1">
      <c r="A259" s="14"/>
      <c r="B259" s="18"/>
      <c r="C259" s="18"/>
      <c r="D259" s="18"/>
      <c r="E259" s="22"/>
      <c r="F259" s="171"/>
      <c r="G259" s="22"/>
      <c r="H259" s="126" t="s">
        <v>267</v>
      </c>
      <c r="I259" s="126"/>
      <c r="J259" s="126"/>
      <c r="K259" s="21"/>
    </row>
    <row r="260" spans="1:11" ht="15" customHeight="1">
      <c r="A260" s="14"/>
      <c r="B260" s="18"/>
      <c r="C260" s="18"/>
      <c r="D260" s="18"/>
      <c r="E260" s="22"/>
      <c r="F260" s="171">
        <f>Input!E32</f>
        <v>0.82</v>
      </c>
      <c r="G260" s="22"/>
      <c r="H260" s="32" t="s">
        <v>261</v>
      </c>
      <c r="I260" s="32"/>
      <c r="J260" s="32"/>
      <c r="K260" s="21"/>
    </row>
    <row r="261" spans="1:11" ht="15" customHeight="1">
      <c r="A261" s="14"/>
      <c r="B261" s="18"/>
      <c r="C261" s="18"/>
      <c r="D261" s="18"/>
      <c r="E261" s="22"/>
      <c r="F261" s="171"/>
      <c r="G261" s="22"/>
      <c r="H261" s="32"/>
      <c r="I261" s="32"/>
      <c r="J261" s="32"/>
      <c r="K261" s="21"/>
    </row>
    <row r="262" spans="1:11" ht="15" customHeight="1">
      <c r="A262" s="14"/>
      <c r="B262" s="18"/>
      <c r="C262" s="18"/>
      <c r="D262" s="18"/>
      <c r="E262" s="22"/>
      <c r="F262" s="171">
        <f>IF(F258&lt;F260,F260,F258)</f>
        <v>0.9461210440112009</v>
      </c>
      <c r="G262" s="22"/>
      <c r="H262" s="126" t="s">
        <v>266</v>
      </c>
      <c r="I262" s="126"/>
      <c r="J262" s="126"/>
      <c r="K262" s="21"/>
    </row>
    <row r="263" spans="1:11" ht="15" customHeight="1">
      <c r="A263" s="14"/>
      <c r="B263" s="18"/>
      <c r="C263" s="19"/>
      <c r="E263" s="22" t="s">
        <v>10</v>
      </c>
      <c r="F263" s="177">
        <f>SUM(1000000*Input!E12)</f>
        <v>10000000</v>
      </c>
      <c r="G263" s="22"/>
      <c r="H263" s="192" t="s">
        <v>143</v>
      </c>
      <c r="I263" s="128"/>
      <c r="J263" s="128"/>
      <c r="K263" s="21"/>
    </row>
    <row r="264" spans="1:11" ht="15" customHeight="1">
      <c r="A264" s="14"/>
      <c r="B264" s="18"/>
      <c r="C264" s="19"/>
      <c r="D264" s="19" t="s">
        <v>13</v>
      </c>
      <c r="E264" s="22" t="s">
        <v>12</v>
      </c>
      <c r="F264" s="162">
        <f>F263*F262</f>
        <v>9461210.44011201</v>
      </c>
      <c r="G264" s="80"/>
      <c r="H264" s="131" t="s">
        <v>225</v>
      </c>
      <c r="I264" s="131"/>
      <c r="J264" s="131"/>
      <c r="K264" s="21"/>
    </row>
    <row r="265" spans="1:11" ht="15" customHeight="1">
      <c r="A265" s="14"/>
      <c r="B265" s="18"/>
      <c r="C265" s="19"/>
      <c r="E265" s="22"/>
      <c r="F265" s="170"/>
      <c r="G265" s="80"/>
      <c r="H265" s="131"/>
      <c r="I265" s="131"/>
      <c r="J265" s="131"/>
      <c r="K265" s="39"/>
    </row>
    <row r="266" spans="1:11" ht="15" customHeight="1">
      <c r="A266" s="14"/>
      <c r="C266" s="19" t="s">
        <v>226</v>
      </c>
      <c r="D266" s="18"/>
      <c r="E266" s="18"/>
      <c r="F266" s="39"/>
      <c r="G266" s="18"/>
      <c r="H266" s="39"/>
      <c r="I266" s="39"/>
      <c r="J266" s="39"/>
      <c r="K266" s="18"/>
    </row>
    <row r="267" spans="1:11" ht="15" customHeight="1">
      <c r="A267" s="14"/>
      <c r="B267" s="18"/>
      <c r="C267" s="18"/>
      <c r="D267" s="18"/>
      <c r="E267" s="22"/>
      <c r="F267" s="171">
        <f>Input!E34</f>
        <v>0.14</v>
      </c>
      <c r="G267" s="22"/>
      <c r="H267" s="32" t="s">
        <v>227</v>
      </c>
      <c r="I267" s="32"/>
      <c r="J267" s="32"/>
      <c r="K267" s="21"/>
    </row>
    <row r="268" spans="1:11" ht="15" customHeight="1">
      <c r="A268" s="14"/>
      <c r="B268" s="18"/>
      <c r="C268" s="19"/>
      <c r="E268" s="22" t="s">
        <v>10</v>
      </c>
      <c r="F268" s="177">
        <f>SUM(1000000*Input!E12)</f>
        <v>10000000</v>
      </c>
      <c r="G268" s="22"/>
      <c r="H268" s="192" t="s">
        <v>143</v>
      </c>
      <c r="I268" s="128"/>
      <c r="J268" s="128"/>
      <c r="K268" s="21"/>
    </row>
    <row r="269" spans="1:11" ht="15" customHeight="1">
      <c r="A269" s="14"/>
      <c r="B269" s="18"/>
      <c r="C269" s="19"/>
      <c r="D269" s="19" t="s">
        <v>13</v>
      </c>
      <c r="E269" s="22" t="s">
        <v>12</v>
      </c>
      <c r="F269" s="162">
        <f>F268*F267</f>
        <v>1400000.0000000002</v>
      </c>
      <c r="G269" s="80"/>
      <c r="H269" s="131" t="s">
        <v>228</v>
      </c>
      <c r="I269" s="131"/>
      <c r="J269" s="131"/>
      <c r="K269" s="21"/>
    </row>
    <row r="270" spans="1:11" ht="15" customHeight="1">
      <c r="A270" s="14"/>
      <c r="B270" s="18"/>
      <c r="C270" s="19"/>
      <c r="E270" s="22"/>
      <c r="F270" s="170"/>
      <c r="G270" s="80"/>
      <c r="H270" s="131"/>
      <c r="I270" s="131"/>
      <c r="J270" s="131"/>
      <c r="K270" s="39"/>
    </row>
    <row r="271" spans="1:11" ht="15" customHeight="1">
      <c r="A271" s="14"/>
      <c r="C271" s="19" t="s">
        <v>229</v>
      </c>
      <c r="D271" s="18"/>
      <c r="E271" s="18"/>
      <c r="F271" s="39"/>
      <c r="G271" s="18"/>
      <c r="H271" s="39"/>
      <c r="I271" s="39"/>
      <c r="J271" s="39"/>
      <c r="K271" s="18"/>
    </row>
    <row r="272" spans="1:11" ht="15" customHeight="1">
      <c r="A272" s="14"/>
      <c r="C272" s="19"/>
      <c r="E272" s="196" t="s">
        <v>301</v>
      </c>
      <c r="F272" s="39"/>
      <c r="G272" s="18"/>
      <c r="H272" s="39"/>
      <c r="I272" s="39"/>
      <c r="J272" s="39"/>
      <c r="K272" s="18"/>
    </row>
    <row r="273" spans="1:11" ht="15" customHeight="1">
      <c r="A273" s="14"/>
      <c r="C273" s="19"/>
      <c r="E273" s="18" t="str">
        <f>"ecoEnergy incentive rate $"&amp;Input!E35&amp;"0 per litre for April 2010 to March 2011"</f>
        <v>ecoEnergy incentive rate $0.180 per litre for April 2010 to March 2011</v>
      </c>
      <c r="F273" s="39"/>
      <c r="G273" s="18"/>
      <c r="H273" s="39"/>
      <c r="I273" s="39"/>
      <c r="J273" s="39"/>
      <c r="K273" s="18"/>
    </row>
    <row r="274" spans="1:11" ht="15" customHeight="1">
      <c r="A274" s="14"/>
      <c r="B274" s="18"/>
      <c r="C274" s="22"/>
      <c r="D274" s="22"/>
      <c r="E274" s="22" t="s">
        <v>12</v>
      </c>
      <c r="F274" s="74">
        <f>Input!E35</f>
        <v>0.18</v>
      </c>
      <c r="G274" s="27"/>
      <c r="H274" s="39" t="s">
        <v>237</v>
      </c>
      <c r="I274" s="39"/>
      <c r="J274" s="39"/>
      <c r="K274" s="21"/>
    </row>
    <row r="275" spans="1:11" ht="15" customHeight="1">
      <c r="A275" s="14"/>
      <c r="B275" s="18"/>
      <c r="C275" s="22"/>
      <c r="D275" s="22"/>
      <c r="E275" s="22" t="s">
        <v>10</v>
      </c>
      <c r="F275" s="177">
        <f>SUM(1000000*Input!E12)</f>
        <v>10000000</v>
      </c>
      <c r="G275" s="63"/>
      <c r="H275" s="192" t="s">
        <v>143</v>
      </c>
      <c r="I275" s="128"/>
      <c r="J275" s="128"/>
      <c r="K275" s="21"/>
    </row>
    <row r="276" spans="1:11" ht="15" customHeight="1">
      <c r="A276" s="14"/>
      <c r="B276" s="18"/>
      <c r="C276" s="19"/>
      <c r="D276" s="19" t="s">
        <v>13</v>
      </c>
      <c r="E276" s="22" t="s">
        <v>12</v>
      </c>
      <c r="F276" s="162">
        <f>SUM(F274*F275)</f>
        <v>1800000</v>
      </c>
      <c r="G276" s="80"/>
      <c r="H276" s="131" t="s">
        <v>236</v>
      </c>
      <c r="I276" s="131"/>
      <c r="J276" s="131"/>
      <c r="K276" s="21"/>
    </row>
    <row r="277" spans="1:11" ht="15" customHeight="1">
      <c r="A277" s="14"/>
      <c r="B277" s="18"/>
      <c r="C277" s="19"/>
      <c r="D277" s="19"/>
      <c r="E277" s="22"/>
      <c r="F277" s="162"/>
      <c r="G277" s="80"/>
      <c r="H277" s="131"/>
      <c r="I277" s="131"/>
      <c r="J277" s="131"/>
      <c r="K277" s="39"/>
    </row>
    <row r="278" spans="1:11" ht="15" customHeight="1">
      <c r="A278" s="14"/>
      <c r="B278" s="18"/>
      <c r="C278" s="19"/>
      <c r="D278" s="19"/>
      <c r="E278" s="22"/>
      <c r="F278" s="162"/>
      <c r="G278" s="80"/>
      <c r="H278" s="131"/>
      <c r="I278" s="131"/>
      <c r="J278" s="131"/>
      <c r="K278" s="39"/>
    </row>
    <row r="279" spans="1:11" ht="15" customHeight="1">
      <c r="A279" s="14"/>
      <c r="B279" s="18"/>
      <c r="C279" s="19"/>
      <c r="D279" s="19"/>
      <c r="E279" s="22"/>
      <c r="F279" s="162"/>
      <c r="G279" s="80"/>
      <c r="H279" s="131"/>
      <c r="I279" s="131"/>
      <c r="J279" s="131"/>
      <c r="K279" s="39"/>
    </row>
    <row r="280" spans="1:11" ht="15" customHeight="1">
      <c r="A280" s="14"/>
      <c r="B280" s="18"/>
      <c r="C280" s="19"/>
      <c r="D280" s="19"/>
      <c r="E280" s="22"/>
      <c r="F280" s="162"/>
      <c r="G280" s="80"/>
      <c r="H280" s="131"/>
      <c r="I280" s="131"/>
      <c r="J280" s="131"/>
      <c r="K280" s="39"/>
    </row>
    <row r="281" spans="1:11" ht="15" customHeight="1">
      <c r="A281" s="14"/>
      <c r="C281" s="19" t="s">
        <v>232</v>
      </c>
      <c r="D281" s="18"/>
      <c r="E281" s="18"/>
      <c r="F281" s="39"/>
      <c r="G281" s="18"/>
      <c r="H281" s="39"/>
      <c r="I281" s="39"/>
      <c r="J281" s="39"/>
      <c r="K281" s="18"/>
    </row>
    <row r="282" spans="1:11" ht="15" customHeight="1">
      <c r="A282" s="14"/>
      <c r="B282" s="18"/>
      <c r="C282" s="18"/>
      <c r="D282" s="18"/>
      <c r="E282" s="22"/>
      <c r="F282" s="158">
        <f>SUM((Input!E12*1000000)*0.0935884)/1000</f>
        <v>935.884</v>
      </c>
      <c r="G282" s="22"/>
      <c r="H282" s="32" t="s">
        <v>233</v>
      </c>
      <c r="I282" s="32"/>
      <c r="J282" s="32"/>
      <c r="K282" s="21"/>
    </row>
    <row r="283" spans="1:11" ht="15" customHeight="1">
      <c r="A283" s="14"/>
      <c r="B283" s="18"/>
      <c r="C283" s="19"/>
      <c r="E283" s="22" t="s">
        <v>10</v>
      </c>
      <c r="F283" s="191">
        <f>Input!E31</f>
        <v>0</v>
      </c>
      <c r="G283" s="22"/>
      <c r="H283" s="192" t="s">
        <v>234</v>
      </c>
      <c r="I283" s="128"/>
      <c r="J283" s="128"/>
      <c r="K283" s="21"/>
    </row>
    <row r="284" spans="1:11" ht="15" customHeight="1">
      <c r="A284" s="14"/>
      <c r="B284" s="18"/>
      <c r="C284" s="19"/>
      <c r="D284" s="19" t="s">
        <v>13</v>
      </c>
      <c r="E284" s="22" t="s">
        <v>12</v>
      </c>
      <c r="F284" s="162">
        <f>F283*F282</f>
        <v>0</v>
      </c>
      <c r="G284" s="80"/>
      <c r="H284" s="131" t="s">
        <v>235</v>
      </c>
      <c r="I284" s="131"/>
      <c r="J284" s="131"/>
      <c r="K284" s="36"/>
    </row>
    <row r="285" spans="1:11" ht="15" customHeight="1">
      <c r="A285" s="14"/>
      <c r="B285" s="21"/>
      <c r="C285" s="21"/>
      <c r="D285" s="21"/>
      <c r="E285" s="192"/>
      <c r="F285" s="197"/>
      <c r="G285" s="193"/>
      <c r="H285" s="193"/>
      <c r="I285" s="127"/>
      <c r="J285" s="127"/>
      <c r="K285" s="39"/>
    </row>
    <row r="286" spans="1:11" ht="15" customHeight="1">
      <c r="A286" s="14"/>
      <c r="B286" s="127" t="s">
        <v>65</v>
      </c>
      <c r="C286" s="127"/>
      <c r="D286" s="32"/>
      <c r="E286" s="32"/>
      <c r="F286" s="32"/>
      <c r="G286" s="32"/>
      <c r="H286" s="32"/>
      <c r="I286" s="32"/>
      <c r="J286" s="32"/>
      <c r="K286" s="32"/>
    </row>
    <row r="287" spans="1:11" ht="15" customHeight="1">
      <c r="A287" s="14"/>
      <c r="B287" s="22"/>
      <c r="C287" s="22"/>
      <c r="D287" s="22"/>
      <c r="E287" s="22"/>
      <c r="F287" s="32"/>
      <c r="G287" s="22"/>
      <c r="H287" s="32"/>
      <c r="I287" s="32"/>
      <c r="J287" s="32"/>
      <c r="K287" s="22"/>
    </row>
    <row r="288" spans="1:11" ht="15" customHeight="1">
      <c r="A288" s="14"/>
      <c r="B288" s="22" t="s">
        <v>27</v>
      </c>
      <c r="C288" s="22"/>
      <c r="D288" s="22"/>
      <c r="E288" s="22"/>
      <c r="F288" s="32"/>
      <c r="G288" s="22"/>
      <c r="H288" s="32"/>
      <c r="I288" s="32"/>
      <c r="J288" s="32"/>
      <c r="K288" s="22"/>
    </row>
    <row r="289" spans="1:11" ht="15" customHeight="1">
      <c r="A289" s="14"/>
      <c r="B289" s="22"/>
      <c r="C289" s="22"/>
      <c r="D289" s="22"/>
      <c r="E289" s="22"/>
      <c r="F289" s="32"/>
      <c r="G289" s="22"/>
      <c r="H289" s="32"/>
      <c r="I289" s="32"/>
      <c r="J289" s="32"/>
      <c r="K289" s="22"/>
    </row>
    <row r="290" spans="1:11" ht="15" customHeight="1">
      <c r="A290" s="14"/>
      <c r="B290" s="22" t="s">
        <v>240</v>
      </c>
      <c r="C290" s="22"/>
      <c r="D290" s="22"/>
      <c r="E290" s="22"/>
      <c r="G290" s="22"/>
      <c r="H290" s="32" t="s">
        <v>241</v>
      </c>
      <c r="I290" s="32"/>
      <c r="J290" s="32"/>
      <c r="K290" s="22"/>
    </row>
    <row r="291" spans="1:11" ht="15" customHeight="1">
      <c r="A291" s="14"/>
      <c r="B291" s="22" t="s">
        <v>66</v>
      </c>
      <c r="C291" s="22"/>
      <c r="D291" s="22"/>
      <c r="E291" s="22"/>
      <c r="G291" s="22"/>
      <c r="H291" s="32" t="s">
        <v>66</v>
      </c>
      <c r="I291" s="32"/>
      <c r="J291" s="32"/>
      <c r="K291" s="22"/>
    </row>
    <row r="292" spans="1:11" ht="15" customHeight="1">
      <c r="A292" s="14"/>
      <c r="B292" s="22" t="s">
        <v>243</v>
      </c>
      <c r="C292" s="22"/>
      <c r="D292" s="22"/>
      <c r="E292" s="22"/>
      <c r="F292" s="32"/>
      <c r="G292" s="22"/>
      <c r="H292" s="32" t="s">
        <v>247</v>
      </c>
      <c r="I292" s="32"/>
      <c r="J292" s="32"/>
      <c r="K292" s="22"/>
    </row>
    <row r="293" spans="1:11" ht="15" customHeight="1">
      <c r="A293" s="14"/>
      <c r="B293" s="22"/>
      <c r="C293" s="22"/>
      <c r="D293" s="22"/>
      <c r="E293" s="22"/>
      <c r="F293" s="32"/>
      <c r="G293" s="22"/>
      <c r="H293" s="32"/>
      <c r="I293" s="32"/>
      <c r="J293" s="32"/>
      <c r="K293" s="22"/>
    </row>
    <row r="294" spans="1:11" ht="15" customHeight="1">
      <c r="A294" s="14"/>
      <c r="B294" s="22" t="s">
        <v>242</v>
      </c>
      <c r="D294" s="14"/>
      <c r="E294" s="22"/>
      <c r="G294" s="22"/>
      <c r="H294" s="22" t="s">
        <v>311</v>
      </c>
      <c r="I294" s="32"/>
      <c r="J294" s="32"/>
      <c r="K294" s="22"/>
    </row>
    <row r="295" spans="1:11" ht="15" customHeight="1">
      <c r="A295" s="14"/>
      <c r="B295" s="22" t="s">
        <v>66</v>
      </c>
      <c r="E295" s="18"/>
      <c r="G295" s="18"/>
      <c r="H295" s="81" t="s">
        <v>312</v>
      </c>
      <c r="I295" s="39"/>
      <c r="J295" s="39"/>
      <c r="K295" s="18"/>
    </row>
    <row r="296" spans="1:11" ht="15" customHeight="1">
      <c r="A296" s="14"/>
      <c r="B296" s="81" t="s">
        <v>248</v>
      </c>
      <c r="C296" s="14"/>
      <c r="D296" s="14"/>
      <c r="E296" s="14"/>
      <c r="F296" s="124"/>
      <c r="G296" s="14"/>
      <c r="H296" s="81" t="s">
        <v>313</v>
      </c>
      <c r="I296" s="39"/>
      <c r="J296" s="39"/>
      <c r="K296" s="14"/>
    </row>
    <row r="297" spans="1:11" ht="15" customHeight="1">
      <c r="A297" s="14"/>
      <c r="E297" s="14"/>
      <c r="G297" s="14"/>
      <c r="K297" s="14"/>
    </row>
    <row r="298" ht="15" customHeight="1">
      <c r="B298" s="18"/>
    </row>
    <row r="299" ht="15" customHeight="1">
      <c r="B299" s="22"/>
    </row>
    <row r="301" ht="15" customHeight="1">
      <c r="B301" s="27"/>
    </row>
    <row r="302" ht="15" customHeight="1">
      <c r="B302" s="27"/>
    </row>
  </sheetData>
  <sheetProtection password="C6A6" sheet="1" objects="1" scenarios="1"/>
  <mergeCells count="6">
    <mergeCell ref="B2:K2"/>
    <mergeCell ref="F206:K206"/>
    <mergeCell ref="A11:K11"/>
    <mergeCell ref="F191:H191"/>
    <mergeCell ref="F192:H192"/>
    <mergeCell ref="B171:K171"/>
  </mergeCells>
  <printOptions/>
  <pageMargins left="0.7480314960629921" right="0.7480314960629921" top="0.7086614173228347" bottom="0.9448818897637796" header="0.3937007874015748" footer="0.7874015748031497"/>
  <pageSetup firstPageNumber="5" useFirstPageNumber="1" fitToHeight="5" horizontalDpi="600" verticalDpi="600" orientation="portrait" scale="74" r:id="rId1"/>
  <headerFooter alignWithMargins="0">
    <oddHeader>&amp;L&amp;9Guidelines: Biodiesel Production Costs&amp;R&amp;P</oddHeader>
    <oddFooter>&amp;R&amp;"Arial,Italic"&amp;9MAFRI, GO Team Branch</oddFooter>
  </headerFooter>
  <rowBreaks count="4" manualBreakCount="4">
    <brk id="61" max="255" man="1"/>
    <brk id="170" max="255" man="1"/>
    <brk id="226" max="255" man="1"/>
    <brk id="278" max="255" man="1"/>
  </rowBreaks>
  <ignoredErrors>
    <ignoredError sqref="F103"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Biodiesel 10 Million Litre 2008</dc:title>
  <dc:subject>Cost of Production</dc:subject>
  <dc:creator>MAFRI Staff - Roy Arnott</dc:creator>
  <cp:keywords>Biodiesel, Cost</cp:keywords>
  <dc:description>Contact:
Box 190
Killarney MB
roy.arnott@gov.mb.ca</dc:description>
  <cp:lastModifiedBy>JGessner</cp:lastModifiedBy>
  <cp:lastPrinted>2011-03-18T21:27:10Z</cp:lastPrinted>
  <dcterms:created xsi:type="dcterms:W3CDTF">1999-08-11T21:29:58Z</dcterms:created>
  <dcterms:modified xsi:type="dcterms:W3CDTF">2011-05-31T13:27:45Z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